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45" windowWidth="15180" windowHeight="12405" tabRatio="640" activeTab="0"/>
  </bookViews>
  <sheets>
    <sheet name="Liste élèves" sheetId="1" r:id="rId1"/>
    <sheet name="Saisie résultats" sheetId="2" r:id="rId2"/>
    <sheet name="Synthèse élèves" sheetId="3" r:id="rId3"/>
    <sheet name="Synthèse classe" sheetId="4" r:id="rId4"/>
  </sheets>
  <definedNames>
    <definedName name="_xlfn.IFERROR" hidden="1">#NAME?</definedName>
    <definedName name="ELEVE" localSheetId="3">'Synthèse classe'!$C$2</definedName>
    <definedName name="ELEVE">'Synthèse élèves'!$C$2</definedName>
    <definedName name="ELEVES">'Saisie résultats'!$B$4:$B$31</definedName>
    <definedName name="_xlnm.Print_Area" localSheetId="1">'Saisie résultats'!$A$1:$BF$45</definedName>
    <definedName name="_xlnm.Print_Area" localSheetId="3">'Synthèse classe'!$A$1:$P$27</definedName>
    <definedName name="_xlnm.Print_Area" localSheetId="2">'Synthèse élèves'!$A$1:$O$27</definedName>
    <definedName name="ZONERESULTATS">'Saisie résultats'!$B$4:$BF$31</definedName>
  </definedNames>
  <calcPr fullCalcOnLoad="1"/>
</workbook>
</file>

<file path=xl/comments3.xml><?xml version="1.0" encoding="utf-8"?>
<comments xmlns="http://schemas.openxmlformats.org/spreadsheetml/2006/main">
  <authors>
    <author>Jean-Claude</author>
  </authors>
  <commentList>
    <comment ref="C2" authorId="0">
      <text>
        <r>
          <rPr>
            <b/>
            <i/>
            <sz val="8"/>
            <rFont val="Tahoma"/>
            <family val="2"/>
          </rPr>
          <t xml:space="preserve">Sélectionner le nom de l'élève.
</t>
        </r>
      </text>
    </comment>
  </commentList>
</comments>
</file>

<file path=xl/sharedStrings.xml><?xml version="1.0" encoding="utf-8"?>
<sst xmlns="http://schemas.openxmlformats.org/spreadsheetml/2006/main" count="216" uniqueCount="143">
  <si>
    <t>Cours préparatoire</t>
  </si>
  <si>
    <t>Grande section</t>
  </si>
  <si>
    <t>Nom prénom de l'élève</t>
  </si>
  <si>
    <t>EX 1</t>
  </si>
  <si>
    <t>EX 2</t>
  </si>
  <si>
    <t>EX 3</t>
  </si>
  <si>
    <t>EX 4</t>
  </si>
  <si>
    <t>EX 5</t>
  </si>
  <si>
    <t>EX 6</t>
  </si>
  <si>
    <t>EX7</t>
  </si>
  <si>
    <t>EX 8</t>
  </si>
  <si>
    <t>EX 9</t>
  </si>
  <si>
    <t>EX 10</t>
  </si>
  <si>
    <t>EX 11</t>
  </si>
  <si>
    <t>EX 12</t>
  </si>
  <si>
    <t>EX 13</t>
  </si>
  <si>
    <t>EX 14</t>
  </si>
  <si>
    <t>EX 15</t>
  </si>
  <si>
    <t>EX 16</t>
  </si>
  <si>
    <t>EX 17</t>
  </si>
  <si>
    <t>NOMS</t>
  </si>
  <si>
    <t>PRENOMS</t>
  </si>
  <si>
    <t>Prénom 2</t>
  </si>
  <si>
    <t>Prénom 3</t>
  </si>
  <si>
    <t>Prénom 4</t>
  </si>
  <si>
    <t>Prénom 5</t>
  </si>
  <si>
    <t>Prénom 6</t>
  </si>
  <si>
    <t>Prénom 7</t>
  </si>
  <si>
    <t>Prénom 8</t>
  </si>
  <si>
    <t>Prénom 9</t>
  </si>
  <si>
    <t>Prénom 10</t>
  </si>
  <si>
    <t>Prénom 11</t>
  </si>
  <si>
    <t>Prénom 12</t>
  </si>
  <si>
    <t>Prénom 13</t>
  </si>
  <si>
    <t>Prénom 14</t>
  </si>
  <si>
    <t>Prénom 15</t>
  </si>
  <si>
    <t>Prénom 16</t>
  </si>
  <si>
    <t>Prénom 17</t>
  </si>
  <si>
    <t>Prénom 18</t>
  </si>
  <si>
    <t>Prénom 19</t>
  </si>
  <si>
    <t>Prénom 20</t>
  </si>
  <si>
    <t>Prénom 21</t>
  </si>
  <si>
    <t>Prénom 22</t>
  </si>
  <si>
    <t>Prénom 23</t>
  </si>
  <si>
    <t>Prénom 24</t>
  </si>
  <si>
    <t>Prénom 25</t>
  </si>
  <si>
    <t>Prénom 26</t>
  </si>
  <si>
    <t>Prénom 27</t>
  </si>
  <si>
    <t>Prénom 28</t>
  </si>
  <si>
    <t>ECOLE</t>
  </si>
  <si>
    <t>Classe</t>
  </si>
  <si>
    <t>Nom classe</t>
  </si>
  <si>
    <t>A</t>
  </si>
  <si>
    <t>Réussite</t>
  </si>
  <si>
    <t>Réussite partielle</t>
  </si>
  <si>
    <t>Echec</t>
  </si>
  <si>
    <t>Non réponse</t>
  </si>
  <si>
    <t>Absence de l'élève</t>
  </si>
  <si>
    <t>LEGENDE</t>
  </si>
  <si>
    <t>Comprendre</t>
  </si>
  <si>
    <t>Comprendre des consignes données de manière collective.</t>
  </si>
  <si>
    <t>Produire un oral compréhensible par autrui.</t>
  </si>
  <si>
    <t>Dire, décrire, expliquer après avoir terminé une activité ou un jeu (hors contexte de réalisation).</t>
  </si>
  <si>
    <t>Progresser vers la maîtrise de la langue française</t>
  </si>
  <si>
    <t>Comprendre et utiliser à bon escient les temps des verbes pour exprimer le passé et le futur</t>
  </si>
  <si>
    <t>Supports du texte écrit</t>
  </si>
  <si>
    <t>Se repérer dans un livre</t>
  </si>
  <si>
    <t>Se préparer à apprendre à lire et à écrire</t>
  </si>
  <si>
    <t>Distinguer les sons de la parole</t>
  </si>
  <si>
    <t>Localiser une syllabe dans un mot (début, fin).</t>
  </si>
  <si>
    <t>Isoler un son dans un mot (début, fin).</t>
  </si>
  <si>
    <t>Écrire son prénom, un mot en écriture cursive.</t>
  </si>
  <si>
    <t>Compétences transversales</t>
  </si>
  <si>
    <t>Mémoriser des mots, des phrases</t>
  </si>
  <si>
    <r>
      <t>N</t>
    </r>
    <r>
      <rPr>
        <b/>
        <vertAlign val="superscript"/>
        <sz val="8"/>
        <rFont val="Arial Narrow"/>
        <family val="2"/>
      </rPr>
      <t>os</t>
    </r>
    <r>
      <rPr>
        <b/>
        <sz val="8"/>
        <rFont val="Arial Narrow"/>
        <family val="2"/>
      </rPr>
      <t xml:space="preserve"> items</t>
    </r>
  </si>
  <si>
    <t>3 ; 4 ; 5 ; 6</t>
  </si>
  <si>
    <t>35 ; 36</t>
  </si>
  <si>
    <t xml:space="preserve">Comprendre une histoire lue par l’enseignant ; la raconter en restituant les enchaînements logiques et chronologiques </t>
  </si>
  <si>
    <t>7 ; 8</t>
  </si>
  <si>
    <t>Échanger, s’exprimer</t>
  </si>
  <si>
    <t>Justifier un acte, un refus, une préférence en utilisant à bon escient “parce que”.</t>
  </si>
  <si>
    <t>10 ; 11</t>
  </si>
  <si>
    <t>13 ; 14 ; 15</t>
  </si>
  <si>
    <t>39 ; 40 ; 41</t>
  </si>
  <si>
    <t>16 ; 17 ; 18 ; 19 ; 20 ; 21 ; 22 ; 23</t>
  </si>
  <si>
    <t>42 ; 43 ; 44 ; 45 ; 46</t>
  </si>
  <si>
    <t>Se familiariser avec l’écrit</t>
  </si>
  <si>
    <t>Reconnaître les types d’écrit rencontrés dans la vie quotidienne  et avoir une première idée de leur fonction.</t>
  </si>
  <si>
    <t>24 ; 25 ; 26 ; 27</t>
  </si>
  <si>
    <t>47 ; 48 ; 49 ; 50</t>
  </si>
  <si>
    <t>S’orienter dans l’espace de la page.</t>
  </si>
  <si>
    <t>51 ; 52</t>
  </si>
  <si>
    <t>Dénombrer les syllabes d’un mot</t>
  </si>
  <si>
    <t>29 ; 30</t>
  </si>
  <si>
    <t>53 ; 54</t>
  </si>
  <si>
    <t>Etablir des relations entre l’oral et l’écrit</t>
  </si>
  <si>
    <t>55 ; 56</t>
  </si>
  <si>
    <t>Apprendre le geste de l’écriture</t>
  </si>
  <si>
    <t>2 ; 32</t>
  </si>
  <si>
    <t>SR</t>
  </si>
  <si>
    <t>Nom de l'élève :</t>
  </si>
  <si>
    <t>Résultats par item</t>
  </si>
  <si>
    <t>NOM école I</t>
  </si>
  <si>
    <t>Nom2</t>
  </si>
  <si>
    <t>Nom3</t>
  </si>
  <si>
    <t>Nom4</t>
  </si>
  <si>
    <t>Nom5</t>
  </si>
  <si>
    <t>Nom6</t>
  </si>
  <si>
    <t>Nom7</t>
  </si>
  <si>
    <t>Nom8</t>
  </si>
  <si>
    <t>Nom9</t>
  </si>
  <si>
    <t>Nom10</t>
  </si>
  <si>
    <t>Nom11</t>
  </si>
  <si>
    <t>Nom12</t>
  </si>
  <si>
    <t>Nom13</t>
  </si>
  <si>
    <t>Nom14</t>
  </si>
  <si>
    <t>Nom15</t>
  </si>
  <si>
    <t>Nom16</t>
  </si>
  <si>
    <t>Nom17</t>
  </si>
  <si>
    <t>Nom18</t>
  </si>
  <si>
    <t>Nom19</t>
  </si>
  <si>
    <t>Nom20</t>
  </si>
  <si>
    <t>Nom21</t>
  </si>
  <si>
    <t>Nom22</t>
  </si>
  <si>
    <t>Nom23</t>
  </si>
  <si>
    <t>Nom24</t>
  </si>
  <si>
    <t>Nom25</t>
  </si>
  <si>
    <t>Nom26</t>
  </si>
  <si>
    <t>Nom27</t>
  </si>
  <si>
    <t>Nom28</t>
  </si>
  <si>
    <t>TEST</t>
  </si>
  <si>
    <t>ÉVALUATION DES ACQUIS
DES ÉLÈVES DE GRANDE SECTION ET COURS PREPARATOIRE
S’APPROPRIER LE LANGAGE
DÉCOUVRIR L’ECRIT</t>
  </si>
  <si>
    <t>2009 
2010</t>
  </si>
  <si>
    <t>Comprendre, acquérir et utiliser un vocabulaire pertinent (noms, verbes, adjectifs, adverbes, comparatifs),</t>
  </si>
  <si>
    <t>Scores de réussite par item sur l'ensemble du groupe d'élève</t>
  </si>
  <si>
    <t>Réussites</t>
  </si>
  <si>
    <t>NB d'items validés</t>
  </si>
  <si>
    <t>Réussites par item</t>
  </si>
  <si>
    <t>Vali</t>
  </si>
  <si>
    <t>groupe d'items</t>
  </si>
  <si>
    <t>Capacités</t>
  </si>
  <si>
    <t>Elève 1</t>
  </si>
  <si>
    <t>TEST Elève 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</si>
</sst>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 mmmm\ yyyy;@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4"/>
      <name val="Arial Black"/>
      <family val="2"/>
    </font>
    <font>
      <sz val="8"/>
      <name val="Arial"/>
      <family val="0"/>
    </font>
    <font>
      <sz val="10"/>
      <name val="Arial Black"/>
      <family val="2"/>
    </font>
    <font>
      <b/>
      <sz val="10"/>
      <color indexed="9"/>
      <name val="Arial"/>
      <family val="2"/>
    </font>
    <font>
      <b/>
      <sz val="8"/>
      <name val="Arial Narrow"/>
      <family val="2"/>
    </font>
    <font>
      <b/>
      <vertAlign val="superscript"/>
      <sz val="8"/>
      <name val="Arial Narrow"/>
      <family val="2"/>
    </font>
    <font>
      <b/>
      <sz val="12"/>
      <name val="Arial"/>
      <family val="2"/>
    </font>
    <font>
      <b/>
      <i/>
      <sz val="8"/>
      <name val="Tahoma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>
        <color indexed="8"/>
      </bottom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 style="medium">
        <color indexed="8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 style="medium">
        <color indexed="8"/>
      </bottom>
    </border>
    <border>
      <left style="medium">
        <color indexed="8"/>
      </left>
      <right style="medium"/>
      <top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/>
    </border>
    <border>
      <left style="medium">
        <color indexed="8"/>
      </left>
      <right style="medium"/>
      <top/>
      <bottom style="medium"/>
    </border>
    <border>
      <left/>
      <right style="medium">
        <color indexed="8"/>
      </right>
      <top/>
      <bottom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/>
      <right style="medium">
        <color indexed="8"/>
      </right>
      <top style="medium"/>
      <bottom/>
    </border>
    <border>
      <left/>
      <right style="medium">
        <color indexed="8"/>
      </right>
      <top/>
      <bottom style="medium"/>
    </border>
    <border>
      <left style="medium">
        <color indexed="8"/>
      </left>
      <right style="medium"/>
      <top style="medium"/>
      <bottom/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/>
      <top/>
      <bottom/>
    </border>
    <border>
      <left style="medium"/>
      <right style="medium"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/>
    </border>
    <border>
      <left style="medium"/>
      <right style="medium">
        <color indexed="8"/>
      </right>
      <top/>
      <bottom style="medium"/>
    </border>
    <border>
      <left/>
      <right>
        <color indexed="63"/>
      </right>
      <top style="medium"/>
      <bottom/>
    </border>
    <border>
      <left/>
      <right>
        <color indexed="63"/>
      </right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0" fillId="21" borderId="3" applyNumberFormat="0" applyFont="0" applyAlignment="0" applyProtection="0"/>
    <xf numFmtId="0" fontId="28" fillId="7" borderId="1" applyNumberFormat="0" applyAlignment="0" applyProtection="0"/>
    <xf numFmtId="0" fontId="2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9" fillId="20" borderId="4" applyNumberFormat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2" fillId="23" borderId="9" applyNumberFormat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20" borderId="11" xfId="0" applyFont="1" applyFill="1" applyBorder="1" applyAlignment="1">
      <alignment horizontal="center"/>
    </xf>
    <xf numFmtId="0" fontId="2" fillId="20" borderId="12" xfId="0" applyFont="1" applyFill="1" applyBorder="1" applyAlignment="1">
      <alignment horizontal="center"/>
    </xf>
    <xf numFmtId="0" fontId="2" fillId="20" borderId="13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20" borderId="14" xfId="0" applyFont="1" applyFill="1" applyBorder="1" applyAlignment="1">
      <alignment horizontal="center"/>
    </xf>
    <xf numFmtId="0" fontId="2" fillId="20" borderId="15" xfId="0" applyFont="1" applyFill="1" applyBorder="1" applyAlignment="1">
      <alignment horizontal="center"/>
    </xf>
    <xf numFmtId="0" fontId="2" fillId="20" borderId="16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20" borderId="0" xfId="0" applyFont="1" applyFill="1" applyAlignment="1">
      <alignment horizontal="center"/>
    </xf>
    <xf numFmtId="0" fontId="0" fillId="20" borderId="0" xfId="0" applyFont="1" applyFill="1" applyAlignment="1">
      <alignment horizontal="center"/>
    </xf>
    <xf numFmtId="0" fontId="6" fillId="20" borderId="17" xfId="0" applyFont="1" applyFill="1" applyBorder="1" applyAlignment="1">
      <alignment horizontal="center"/>
    </xf>
    <xf numFmtId="0" fontId="6" fillId="2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0" fillId="20" borderId="26" xfId="0" applyFont="1" applyFill="1" applyBorder="1" applyAlignment="1">
      <alignment horizontal="right"/>
    </xf>
    <xf numFmtId="0" fontId="2" fillId="20" borderId="28" xfId="0" applyFont="1" applyFill="1" applyBorder="1" applyAlignment="1">
      <alignment horizontal="center"/>
    </xf>
    <xf numFmtId="0" fontId="0" fillId="20" borderId="29" xfId="0" applyFont="1" applyFill="1" applyBorder="1" applyAlignment="1">
      <alignment horizontal="right"/>
    </xf>
    <xf numFmtId="0" fontId="2" fillId="20" borderId="31" xfId="0" applyFont="1" applyFill="1" applyBorder="1" applyAlignment="1">
      <alignment horizontal="center"/>
    </xf>
    <xf numFmtId="0" fontId="0" fillId="24" borderId="32" xfId="0" applyFont="1" applyFill="1" applyBorder="1" applyAlignment="1">
      <alignment vertical="center" wrapText="1"/>
    </xf>
    <xf numFmtId="0" fontId="0" fillId="0" borderId="23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5" fillId="24" borderId="35" xfId="0" applyFont="1" applyFill="1" applyBorder="1" applyAlignment="1">
      <alignment vertical="center" wrapText="1"/>
    </xf>
    <xf numFmtId="0" fontId="0" fillId="24" borderId="36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24" borderId="35" xfId="0" applyFont="1" applyFill="1" applyBorder="1" applyAlignment="1">
      <alignment vertical="center" wrapText="1"/>
    </xf>
    <xf numFmtId="0" fontId="0" fillId="24" borderId="37" xfId="0" applyFont="1" applyFill="1" applyBorder="1" applyAlignment="1">
      <alignment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3" fontId="13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15" fillId="24" borderId="17" xfId="0" applyFont="1" applyFill="1" applyBorder="1" applyAlignment="1">
      <alignment horizontal="center" vertical="center" wrapText="1"/>
    </xf>
    <xf numFmtId="0" fontId="17" fillId="24" borderId="18" xfId="0" applyFont="1" applyFill="1" applyBorder="1" applyAlignment="1">
      <alignment horizontal="center" vertical="center" wrapText="1"/>
    </xf>
    <xf numFmtId="0" fontId="15" fillId="24" borderId="40" xfId="0" applyFont="1" applyFill="1" applyBorder="1" applyAlignment="1">
      <alignment horizontal="center" vertical="center" wrapText="1"/>
    </xf>
    <xf numFmtId="0" fontId="15" fillId="24" borderId="18" xfId="0" applyFont="1" applyFill="1" applyBorder="1" applyAlignment="1">
      <alignment horizontal="center" vertical="center" wrapText="1"/>
    </xf>
    <xf numFmtId="0" fontId="15" fillId="24" borderId="41" xfId="0" applyFont="1" applyFill="1" applyBorder="1" applyAlignment="1">
      <alignment horizontal="center" vertical="center" wrapText="1"/>
    </xf>
    <xf numFmtId="0" fontId="17" fillId="24" borderId="42" xfId="0" applyFont="1" applyFill="1" applyBorder="1" applyAlignment="1">
      <alignment horizontal="center" vertical="center" wrapText="1"/>
    </xf>
    <xf numFmtId="0" fontId="17" fillId="24" borderId="40" xfId="0" applyFont="1" applyFill="1" applyBorder="1" applyAlignment="1">
      <alignment horizontal="center" vertical="center" wrapText="1"/>
    </xf>
    <xf numFmtId="0" fontId="15" fillId="24" borderId="43" xfId="0" applyFont="1" applyFill="1" applyBorder="1" applyAlignment="1">
      <alignment horizontal="center" vertical="center" wrapText="1"/>
    </xf>
    <xf numFmtId="0" fontId="15" fillId="24" borderId="42" xfId="0" applyFont="1" applyFill="1" applyBorder="1" applyAlignment="1">
      <alignment horizontal="center" vertical="center" wrapText="1"/>
    </xf>
    <xf numFmtId="9" fontId="10" fillId="0" borderId="20" xfId="50" applyFont="1" applyBorder="1" applyAlignment="1">
      <alignment horizontal="center" vertical="center"/>
    </xf>
    <xf numFmtId="9" fontId="10" fillId="0" borderId="10" xfId="50" applyFont="1" applyBorder="1" applyAlignment="1">
      <alignment horizontal="center" vertical="center"/>
    </xf>
    <xf numFmtId="9" fontId="13" fillId="0" borderId="22" xfId="50" applyFont="1" applyBorder="1" applyAlignment="1">
      <alignment horizontal="center" vertical="center"/>
    </xf>
    <xf numFmtId="9" fontId="18" fillId="0" borderId="26" xfId="50" applyFont="1" applyBorder="1" applyAlignment="1">
      <alignment horizontal="center" vertical="center"/>
    </xf>
    <xf numFmtId="9" fontId="13" fillId="0" borderId="26" xfId="50" applyFont="1" applyBorder="1" applyAlignment="1">
      <alignment horizontal="center" vertical="center"/>
    </xf>
    <xf numFmtId="9" fontId="18" fillId="0" borderId="29" xfId="5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9" fontId="12" fillId="0" borderId="0" xfId="50" applyNumberFormat="1" applyFont="1" applyAlignment="1">
      <alignment horizontal="right" vertical="center" wrapText="1"/>
    </xf>
    <xf numFmtId="9" fontId="0" fillId="0" borderId="0" xfId="50" applyNumberFormat="1" applyFont="1" applyAlignment="1">
      <alignment/>
    </xf>
    <xf numFmtId="9" fontId="13" fillId="0" borderId="44" xfId="50" applyNumberFormat="1" applyFont="1" applyBorder="1" applyAlignment="1">
      <alignment horizontal="center" vertical="center" textRotation="90"/>
    </xf>
    <xf numFmtId="9" fontId="13" fillId="0" borderId="45" xfId="50" applyNumberFormat="1" applyFont="1" applyBorder="1" applyAlignment="1">
      <alignment horizontal="center" vertical="center" textRotation="90"/>
    </xf>
    <xf numFmtId="9" fontId="13" fillId="0" borderId="46" xfId="50" applyNumberFormat="1" applyFont="1" applyBorder="1" applyAlignment="1">
      <alignment horizontal="center" vertical="center" textRotation="90"/>
    </xf>
    <xf numFmtId="9" fontId="13" fillId="0" borderId="47" xfId="50" applyNumberFormat="1" applyFont="1" applyBorder="1" applyAlignment="1">
      <alignment horizontal="center" vertical="center" textRotation="90"/>
    </xf>
    <xf numFmtId="0" fontId="2" fillId="20" borderId="48" xfId="0" applyFont="1" applyFill="1" applyBorder="1" applyAlignment="1">
      <alignment horizontal="center" vertical="center"/>
    </xf>
    <xf numFmtId="0" fontId="2" fillId="20" borderId="49" xfId="0" applyFont="1" applyFill="1" applyBorder="1" applyAlignment="1">
      <alignment horizontal="center" vertical="center"/>
    </xf>
    <xf numFmtId="0" fontId="2" fillId="20" borderId="50" xfId="0" applyFont="1" applyFill="1" applyBorder="1" applyAlignment="1">
      <alignment horizontal="center" vertical="center"/>
    </xf>
    <xf numFmtId="0" fontId="12" fillId="20" borderId="48" xfId="0" applyFont="1" applyFill="1" applyBorder="1" applyAlignment="1">
      <alignment horizontal="center" vertical="center"/>
    </xf>
    <xf numFmtId="0" fontId="12" fillId="20" borderId="49" xfId="0" applyFont="1" applyFill="1" applyBorder="1" applyAlignment="1">
      <alignment horizontal="center" vertical="center"/>
    </xf>
    <xf numFmtId="0" fontId="12" fillId="20" borderId="50" xfId="0" applyFont="1" applyFill="1" applyBorder="1" applyAlignment="1">
      <alignment horizontal="center" vertical="center"/>
    </xf>
    <xf numFmtId="0" fontId="2" fillId="20" borderId="0" xfId="0" applyFont="1" applyFill="1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5" fillId="24" borderId="38" xfId="0" applyFont="1" applyFill="1" applyBorder="1" applyAlignment="1">
      <alignment horizontal="center" vertical="center" wrapText="1"/>
    </xf>
    <xf numFmtId="0" fontId="17" fillId="24" borderId="19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/>
    </xf>
    <xf numFmtId="9" fontId="20" fillId="0" borderId="0" xfId="50" applyNumberFormat="1" applyFont="1" applyAlignment="1">
      <alignment horizontal="center" vertical="center" wrapText="1"/>
    </xf>
    <xf numFmtId="0" fontId="15" fillId="24" borderId="51" xfId="0" applyFont="1" applyFill="1" applyBorder="1" applyAlignment="1">
      <alignment horizontal="center" vertical="center" wrapText="1"/>
    </xf>
    <xf numFmtId="0" fontId="15" fillId="24" borderId="39" xfId="0" applyFont="1" applyFill="1" applyBorder="1" applyAlignment="1">
      <alignment horizontal="center" vertical="center" wrapText="1"/>
    </xf>
    <xf numFmtId="0" fontId="17" fillId="24" borderId="52" xfId="0" applyFont="1" applyFill="1" applyBorder="1" applyAlignment="1">
      <alignment horizontal="center" vertical="center" wrapText="1"/>
    </xf>
    <xf numFmtId="0" fontId="15" fillId="24" borderId="52" xfId="0" applyFont="1" applyFill="1" applyBorder="1" applyAlignment="1">
      <alignment horizontal="center" vertical="center" wrapText="1"/>
    </xf>
    <xf numFmtId="9" fontId="13" fillId="0" borderId="29" xfId="50" applyFont="1" applyBorder="1" applyAlignment="1">
      <alignment horizontal="center" vertical="center"/>
    </xf>
    <xf numFmtId="0" fontId="12" fillId="0" borderId="34" xfId="0" applyFont="1" applyBorder="1" applyAlignment="1">
      <alignment/>
    </xf>
    <xf numFmtId="0" fontId="8" fillId="20" borderId="17" xfId="0" applyFont="1" applyFill="1" applyBorder="1" applyAlignment="1">
      <alignment horizontal="center" vertical="center" wrapText="1"/>
    </xf>
    <xf numFmtId="0" fontId="0" fillId="20" borderId="0" xfId="0" applyFont="1" applyFill="1" applyAlignment="1">
      <alignment horizontal="center"/>
    </xf>
    <xf numFmtId="0" fontId="0" fillId="24" borderId="53" xfId="0" applyFont="1" applyFill="1" applyBorder="1" applyAlignment="1">
      <alignment vertical="center" wrapText="1"/>
    </xf>
    <xf numFmtId="0" fontId="16" fillId="24" borderId="54" xfId="0" applyFont="1" applyFill="1" applyBorder="1" applyAlignment="1">
      <alignment vertical="center" wrapText="1"/>
    </xf>
    <xf numFmtId="0" fontId="16" fillId="24" borderId="55" xfId="0" applyFont="1" applyFill="1" applyBorder="1" applyAlignment="1">
      <alignment vertical="center" wrapText="1"/>
    </xf>
    <xf numFmtId="9" fontId="10" fillId="0" borderId="10" xfId="50" applyFont="1" applyBorder="1" applyAlignment="1">
      <alignment horizontal="center" vertical="center"/>
    </xf>
    <xf numFmtId="0" fontId="2" fillId="20" borderId="39" xfId="0" applyFont="1" applyFill="1" applyBorder="1" applyAlignment="1">
      <alignment horizontal="center" vertical="center" wrapText="1"/>
    </xf>
    <xf numFmtId="0" fontId="2" fillId="20" borderId="56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7" fillId="25" borderId="14" xfId="0" applyFont="1" applyFill="1" applyBorder="1" applyAlignment="1">
      <alignment horizontal="center"/>
    </xf>
    <xf numFmtId="0" fontId="7" fillId="25" borderId="58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9" fontId="14" fillId="0" borderId="25" xfId="50" applyFont="1" applyBorder="1" applyAlignment="1">
      <alignment horizontal="center" vertical="center"/>
    </xf>
    <xf numFmtId="9" fontId="14" fillId="0" borderId="28" xfId="50" applyFont="1" applyBorder="1" applyAlignment="1">
      <alignment horizontal="center" vertical="center"/>
    </xf>
    <xf numFmtId="9" fontId="10" fillId="0" borderId="23" xfId="50" applyFont="1" applyBorder="1" applyAlignment="1">
      <alignment horizontal="center" vertical="center"/>
    </xf>
    <xf numFmtId="9" fontId="10" fillId="0" borderId="20" xfId="50" applyFont="1" applyBorder="1" applyAlignment="1">
      <alignment horizontal="center" vertical="center"/>
    </xf>
    <xf numFmtId="9" fontId="14" fillId="0" borderId="31" xfId="50" applyFont="1" applyBorder="1" applyAlignment="1">
      <alignment horizontal="center" vertical="center"/>
    </xf>
    <xf numFmtId="0" fontId="2" fillId="20" borderId="38" xfId="0" applyFont="1" applyFill="1" applyBorder="1" applyAlignment="1">
      <alignment horizontal="center" vertical="center" wrapText="1"/>
    </xf>
    <xf numFmtId="0" fontId="2" fillId="20" borderId="59" xfId="0" applyFont="1" applyFill="1" applyBorder="1" applyAlignment="1">
      <alignment horizontal="center" vertical="center" wrapText="1"/>
    </xf>
    <xf numFmtId="0" fontId="2" fillId="20" borderId="19" xfId="0" applyFont="1" applyFill="1" applyBorder="1" applyAlignment="1">
      <alignment horizontal="center" vertical="center" wrapText="1"/>
    </xf>
    <xf numFmtId="0" fontId="2" fillId="20" borderId="60" xfId="0" applyFont="1" applyFill="1" applyBorder="1" applyAlignment="1">
      <alignment horizontal="center" vertical="center" wrapText="1"/>
    </xf>
    <xf numFmtId="0" fontId="0" fillId="24" borderId="61" xfId="0" applyFont="1" applyFill="1" applyBorder="1" applyAlignment="1">
      <alignment vertical="center" wrapText="1"/>
    </xf>
    <xf numFmtId="0" fontId="0" fillId="24" borderId="55" xfId="0" applyFont="1" applyFill="1" applyBorder="1" applyAlignment="1">
      <alignment vertical="center" wrapText="1"/>
    </xf>
    <xf numFmtId="0" fontId="2" fillId="20" borderId="62" xfId="0" applyFont="1" applyFill="1" applyBorder="1" applyAlignment="1">
      <alignment horizontal="center" vertical="center" wrapText="1"/>
    </xf>
    <xf numFmtId="0" fontId="2" fillId="20" borderId="6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0" borderId="64" xfId="0" applyFont="1" applyFill="1" applyBorder="1" applyAlignment="1">
      <alignment vertical="center" wrapText="1"/>
    </xf>
    <xf numFmtId="0" fontId="2" fillId="20" borderId="65" xfId="0" applyFont="1" applyFill="1" applyBorder="1" applyAlignment="1">
      <alignment vertical="center" wrapText="1"/>
    </xf>
    <xf numFmtId="0" fontId="0" fillId="24" borderId="54" xfId="0" applyFont="1" applyFill="1" applyBorder="1" applyAlignment="1">
      <alignment vertical="center" wrapText="1"/>
    </xf>
    <xf numFmtId="0" fontId="0" fillId="24" borderId="66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0" borderId="0" xfId="0" applyFont="1" applyFill="1" applyBorder="1" applyAlignment="1">
      <alignment horizontal="center"/>
    </xf>
    <xf numFmtId="0" fontId="0" fillId="20" borderId="0" xfId="0" applyFill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2" fillId="20" borderId="57" xfId="0" applyFont="1" applyFill="1" applyBorder="1" applyAlignment="1">
      <alignment horizontal="center" vertical="center" wrapText="1"/>
    </xf>
    <xf numFmtId="0" fontId="2" fillId="20" borderId="37" xfId="0" applyFont="1" applyFill="1" applyBorder="1" applyAlignment="1">
      <alignment horizontal="center" vertical="center" wrapText="1"/>
    </xf>
    <xf numFmtId="0" fontId="2" fillId="20" borderId="3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vertical="center" wrapText="1"/>
    </xf>
    <xf numFmtId="0" fontId="0" fillId="24" borderId="42" xfId="0" applyFont="1" applyFill="1" applyBorder="1" applyAlignment="1">
      <alignment vertical="center" wrapText="1"/>
    </xf>
    <xf numFmtId="0" fontId="0" fillId="24" borderId="67" xfId="0" applyFont="1" applyFill="1" applyBorder="1" applyAlignment="1">
      <alignment vertical="center" wrapText="1"/>
    </xf>
    <xf numFmtId="0" fontId="0" fillId="24" borderId="18" xfId="0" applyFont="1" applyFill="1" applyBorder="1" applyAlignment="1">
      <alignment vertical="center" wrapText="1"/>
    </xf>
    <xf numFmtId="0" fontId="2" fillId="20" borderId="68" xfId="0" applyFont="1" applyFill="1" applyBorder="1" applyAlignment="1">
      <alignment horizontal="center" vertical="center" wrapText="1"/>
    </xf>
    <xf numFmtId="0" fontId="2" fillId="20" borderId="65" xfId="0" applyFont="1" applyFill="1" applyBorder="1" applyAlignment="1">
      <alignment horizontal="center" vertical="center" wrapText="1"/>
    </xf>
    <xf numFmtId="0" fontId="2" fillId="20" borderId="69" xfId="0" applyFont="1" applyFill="1" applyBorder="1" applyAlignment="1">
      <alignment horizontal="center" vertical="center" wrapText="1"/>
    </xf>
    <xf numFmtId="0" fontId="0" fillId="20" borderId="19" xfId="0" applyFont="1" applyFill="1" applyBorder="1" applyAlignment="1">
      <alignment horizontal="center"/>
    </xf>
    <xf numFmtId="0" fontId="0" fillId="20" borderId="34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20" xfId="0" applyBorder="1" applyAlignment="1">
      <alignment/>
    </xf>
    <xf numFmtId="0" fontId="2" fillId="20" borderId="70" xfId="0" applyFont="1" applyFill="1" applyBorder="1" applyAlignment="1">
      <alignment vertical="center" wrapText="1"/>
    </xf>
    <xf numFmtId="0" fontId="2" fillId="20" borderId="71" xfId="0" applyFont="1" applyFill="1" applyBorder="1" applyAlignment="1">
      <alignment horizontal="center" vertical="center" wrapText="1"/>
    </xf>
    <xf numFmtId="0" fontId="2" fillId="20" borderId="70" xfId="0" applyFont="1" applyFill="1" applyBorder="1" applyAlignment="1">
      <alignment horizontal="center" vertical="center" wrapText="1"/>
    </xf>
    <xf numFmtId="0" fontId="0" fillId="0" borderId="72" xfId="0" applyBorder="1" applyAlignment="1">
      <alignment/>
    </xf>
    <xf numFmtId="0" fontId="0" fillId="0" borderId="73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2" fillId="20" borderId="74" xfId="0" applyFont="1" applyFill="1" applyBorder="1" applyAlignment="1">
      <alignment horizontal="center" vertical="center"/>
    </xf>
    <xf numFmtId="0" fontId="5" fillId="20" borderId="74" xfId="0" applyFont="1" applyFill="1" applyBorder="1" applyAlignment="1">
      <alignment horizontal="center" vertical="center"/>
    </xf>
    <xf numFmtId="0" fontId="19" fillId="20" borderId="74" xfId="0" applyFont="1" applyFill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77" xfId="0" applyFont="1" applyBorder="1" applyAlignment="1">
      <alignment/>
    </xf>
    <xf numFmtId="0" fontId="0" fillId="0" borderId="77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5">
    <dxf>
      <font>
        <color rgb="FF9C0006"/>
      </font>
      <fill>
        <patternFill>
          <bgColor rgb="FFFFC7CE"/>
        </patternFill>
      </fill>
    </dxf>
    <dxf>
      <border/>
    </dxf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114300</xdr:rowOff>
    </xdr:from>
    <xdr:to>
      <xdr:col>1</xdr:col>
      <xdr:colOff>285750</xdr:colOff>
      <xdr:row>0</xdr:row>
      <xdr:rowOff>1019175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971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19050</xdr:rowOff>
    </xdr:from>
    <xdr:to>
      <xdr:col>1</xdr:col>
      <xdr:colOff>333375</xdr:colOff>
      <xdr:row>0</xdr:row>
      <xdr:rowOff>933450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19050</xdr:rowOff>
    </xdr:from>
    <xdr:to>
      <xdr:col>1</xdr:col>
      <xdr:colOff>333375</xdr:colOff>
      <xdr:row>0</xdr:row>
      <xdr:rowOff>933450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4"/>
  <sheetViews>
    <sheetView showGridLines="0" tabSelected="1" zoomScalePageLayoutView="0" workbookViewId="0" topLeftCell="A1">
      <selection activeCell="D3" sqref="D3"/>
    </sheetView>
  </sheetViews>
  <sheetFormatPr defaultColWidth="11.421875" defaultRowHeight="12.75"/>
  <cols>
    <col min="2" max="2" width="4.421875" style="0" customWidth="1"/>
    <col min="3" max="3" width="27.8515625" style="0" customWidth="1"/>
    <col min="4" max="4" width="28.28125" style="0" customWidth="1"/>
  </cols>
  <sheetData>
    <row r="1" spans="3:14" ht="88.5" customHeight="1">
      <c r="C1" s="110" t="s">
        <v>131</v>
      </c>
      <c r="D1" s="110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ht="12" customHeight="1"/>
    <row r="3" spans="3:4" ht="12.75">
      <c r="C3" s="41" t="s">
        <v>49</v>
      </c>
      <c r="D3" s="13" t="s">
        <v>102</v>
      </c>
    </row>
    <row r="4" spans="3:4" ht="12.75">
      <c r="C4" s="41" t="s">
        <v>50</v>
      </c>
      <c r="D4" s="14" t="s">
        <v>51</v>
      </c>
    </row>
    <row r="6" spans="2:4" ht="32.25" customHeight="1" thickBot="1">
      <c r="B6" s="3"/>
      <c r="C6" s="11" t="s">
        <v>20</v>
      </c>
      <c r="D6" s="11" t="s">
        <v>21</v>
      </c>
    </row>
    <row r="7" spans="2:4" ht="14.25" customHeight="1">
      <c r="B7" s="8">
        <v>1</v>
      </c>
      <c r="C7" s="52" t="s">
        <v>130</v>
      </c>
      <c r="D7" s="52" t="s">
        <v>141</v>
      </c>
    </row>
    <row r="8" spans="2:4" ht="14.25" customHeight="1">
      <c r="B8" s="9">
        <v>2</v>
      </c>
      <c r="C8" s="52" t="s">
        <v>103</v>
      </c>
      <c r="D8" s="2" t="s">
        <v>22</v>
      </c>
    </row>
    <row r="9" spans="2:4" ht="14.25" customHeight="1">
      <c r="B9" s="9">
        <v>3</v>
      </c>
      <c r="C9" s="52" t="s">
        <v>104</v>
      </c>
      <c r="D9" s="2" t="s">
        <v>23</v>
      </c>
    </row>
    <row r="10" spans="2:4" ht="14.25" customHeight="1">
      <c r="B10" s="9">
        <v>4</v>
      </c>
      <c r="C10" s="52" t="s">
        <v>105</v>
      </c>
      <c r="D10" s="2" t="s">
        <v>24</v>
      </c>
    </row>
    <row r="11" spans="2:4" ht="14.25" customHeight="1">
      <c r="B11" s="9">
        <v>5</v>
      </c>
      <c r="C11" s="52" t="s">
        <v>106</v>
      </c>
      <c r="D11" s="2" t="s">
        <v>25</v>
      </c>
    </row>
    <row r="12" spans="2:4" ht="14.25" customHeight="1">
      <c r="B12" s="9">
        <v>6</v>
      </c>
      <c r="C12" s="52" t="s">
        <v>107</v>
      </c>
      <c r="D12" s="2" t="s">
        <v>26</v>
      </c>
    </row>
    <row r="13" spans="2:4" ht="14.25" customHeight="1">
      <c r="B13" s="9">
        <v>7</v>
      </c>
      <c r="C13" s="52" t="s">
        <v>108</v>
      </c>
      <c r="D13" s="2" t="s">
        <v>27</v>
      </c>
    </row>
    <row r="14" spans="2:4" ht="14.25" customHeight="1">
      <c r="B14" s="9">
        <v>8</v>
      </c>
      <c r="C14" s="52" t="s">
        <v>109</v>
      </c>
      <c r="D14" s="2" t="s">
        <v>28</v>
      </c>
    </row>
    <row r="15" spans="2:4" ht="14.25" customHeight="1">
      <c r="B15" s="9">
        <v>9</v>
      </c>
      <c r="C15" s="52" t="s">
        <v>110</v>
      </c>
      <c r="D15" s="2" t="s">
        <v>29</v>
      </c>
    </row>
    <row r="16" spans="2:4" ht="14.25" customHeight="1">
      <c r="B16" s="9">
        <v>10</v>
      </c>
      <c r="C16" s="52" t="s">
        <v>111</v>
      </c>
      <c r="D16" s="2" t="s">
        <v>30</v>
      </c>
    </row>
    <row r="17" spans="2:4" ht="14.25" customHeight="1">
      <c r="B17" s="9">
        <v>11</v>
      </c>
      <c r="C17" s="52" t="s">
        <v>112</v>
      </c>
      <c r="D17" s="2" t="s">
        <v>31</v>
      </c>
    </row>
    <row r="18" spans="2:4" ht="14.25" customHeight="1">
      <c r="B18" s="9">
        <v>12</v>
      </c>
      <c r="C18" s="52" t="s">
        <v>113</v>
      </c>
      <c r="D18" s="2" t="s">
        <v>32</v>
      </c>
    </row>
    <row r="19" spans="2:4" ht="14.25" customHeight="1">
      <c r="B19" s="9">
        <v>13</v>
      </c>
      <c r="C19" s="52" t="s">
        <v>114</v>
      </c>
      <c r="D19" s="2" t="s">
        <v>33</v>
      </c>
    </row>
    <row r="20" spans="2:4" ht="14.25" customHeight="1">
      <c r="B20" s="9">
        <v>14</v>
      </c>
      <c r="C20" s="52" t="s">
        <v>115</v>
      </c>
      <c r="D20" s="2" t="s">
        <v>34</v>
      </c>
    </row>
    <row r="21" spans="2:4" ht="14.25" customHeight="1">
      <c r="B21" s="9">
        <v>15</v>
      </c>
      <c r="C21" s="52" t="s">
        <v>116</v>
      </c>
      <c r="D21" s="2" t="s">
        <v>35</v>
      </c>
    </row>
    <row r="22" spans="2:4" ht="14.25" customHeight="1">
      <c r="B22" s="9">
        <v>16</v>
      </c>
      <c r="C22" s="52" t="s">
        <v>117</v>
      </c>
      <c r="D22" s="2" t="s">
        <v>36</v>
      </c>
    </row>
    <row r="23" spans="2:4" ht="14.25" customHeight="1">
      <c r="B23" s="9">
        <v>17</v>
      </c>
      <c r="C23" s="52" t="s">
        <v>118</v>
      </c>
      <c r="D23" s="2" t="s">
        <v>37</v>
      </c>
    </row>
    <row r="24" spans="2:4" ht="14.25" customHeight="1">
      <c r="B24" s="9">
        <v>18</v>
      </c>
      <c r="C24" s="52" t="s">
        <v>119</v>
      </c>
      <c r="D24" s="2" t="s">
        <v>38</v>
      </c>
    </row>
    <row r="25" spans="2:4" ht="14.25" customHeight="1">
      <c r="B25" s="9">
        <v>19</v>
      </c>
      <c r="C25" s="52" t="s">
        <v>120</v>
      </c>
      <c r="D25" s="2" t="s">
        <v>39</v>
      </c>
    </row>
    <row r="26" spans="2:4" ht="14.25" customHeight="1">
      <c r="B26" s="9">
        <v>20</v>
      </c>
      <c r="C26" s="52" t="s">
        <v>121</v>
      </c>
      <c r="D26" s="2" t="s">
        <v>40</v>
      </c>
    </row>
    <row r="27" spans="2:4" ht="14.25" customHeight="1">
      <c r="B27" s="9">
        <v>21</v>
      </c>
      <c r="C27" s="52" t="s">
        <v>122</v>
      </c>
      <c r="D27" s="2" t="s">
        <v>41</v>
      </c>
    </row>
    <row r="28" spans="2:4" ht="14.25" customHeight="1">
      <c r="B28" s="9">
        <v>22</v>
      </c>
      <c r="C28" s="52" t="s">
        <v>123</v>
      </c>
      <c r="D28" s="2" t="s">
        <v>42</v>
      </c>
    </row>
    <row r="29" spans="2:4" ht="14.25" customHeight="1">
      <c r="B29" s="9">
        <v>23</v>
      </c>
      <c r="C29" s="52" t="s">
        <v>124</v>
      </c>
      <c r="D29" s="2" t="s">
        <v>43</v>
      </c>
    </row>
    <row r="30" spans="2:4" ht="14.25" customHeight="1">
      <c r="B30" s="9">
        <v>24</v>
      </c>
      <c r="C30" s="52" t="s">
        <v>125</v>
      </c>
      <c r="D30" s="2" t="s">
        <v>44</v>
      </c>
    </row>
    <row r="31" spans="2:4" ht="14.25" customHeight="1">
      <c r="B31" s="9">
        <v>25</v>
      </c>
      <c r="C31" s="52" t="s">
        <v>126</v>
      </c>
      <c r="D31" s="2" t="s">
        <v>45</v>
      </c>
    </row>
    <row r="32" spans="2:4" ht="14.25" customHeight="1">
      <c r="B32" s="9">
        <v>26</v>
      </c>
      <c r="C32" s="52" t="s">
        <v>127</v>
      </c>
      <c r="D32" s="2" t="s">
        <v>46</v>
      </c>
    </row>
    <row r="33" spans="2:4" ht="14.25" customHeight="1">
      <c r="B33" s="9">
        <v>27</v>
      </c>
      <c r="C33" s="52" t="s">
        <v>128</v>
      </c>
      <c r="D33" s="2" t="s">
        <v>47</v>
      </c>
    </row>
    <row r="34" spans="2:4" ht="14.25" customHeight="1" thickBot="1">
      <c r="B34" s="10">
        <v>28</v>
      </c>
      <c r="C34" s="52" t="s">
        <v>129</v>
      </c>
      <c r="D34" s="2" t="s">
        <v>48</v>
      </c>
    </row>
  </sheetData>
  <sheetProtection/>
  <mergeCells count="1">
    <mergeCell ref="C1:D1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5"/>
  <sheetViews>
    <sheetView showGridLines="0" zoomScalePageLayoutView="0" workbookViewId="0" topLeftCell="A1">
      <pane xSplit="2" topLeftCell="K1" activePane="topRight" state="frozen"/>
      <selection pane="topLeft" activeCell="A1" sqref="A1"/>
      <selection pane="topRight" activeCell="K4" sqref="K4"/>
    </sheetView>
  </sheetViews>
  <sheetFormatPr defaultColWidth="11.421875" defaultRowHeight="12.75"/>
  <cols>
    <col min="1" max="1" width="4.421875" style="0" customWidth="1"/>
    <col min="2" max="2" width="32.57421875" style="12" customWidth="1"/>
    <col min="3" max="58" width="3.57421875" style="0" customWidth="1"/>
  </cols>
  <sheetData>
    <row r="1" spans="2:58" ht="22.5">
      <c r="B1" s="15" t="str">
        <f>CONCATENATE('Liste élèves'!C3," ",'Liste élèves'!D3)</f>
        <v>ECOLE NOM école I</v>
      </c>
      <c r="C1" s="113" t="s">
        <v>1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5"/>
      <c r="AI1" s="113" t="s">
        <v>0</v>
      </c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5"/>
    </row>
    <row r="2" spans="2:58" s="7" customFormat="1" ht="20.25" customHeight="1" thickBot="1">
      <c r="B2" s="16" t="str">
        <f>CONCATENATE('Liste élèves'!C4," ",'Liste élèves'!D4)</f>
        <v>Classe Nom classe</v>
      </c>
      <c r="C2" s="111" t="s">
        <v>3</v>
      </c>
      <c r="D2" s="112"/>
      <c r="E2" s="112" t="s">
        <v>4</v>
      </c>
      <c r="F2" s="112"/>
      <c r="G2" s="112"/>
      <c r="H2" s="112"/>
      <c r="I2" s="112" t="s">
        <v>5</v>
      </c>
      <c r="J2" s="112"/>
      <c r="K2" s="112"/>
      <c r="L2" s="112"/>
      <c r="M2" s="112"/>
      <c r="N2" s="112"/>
      <c r="O2" s="112" t="s">
        <v>6</v>
      </c>
      <c r="P2" s="112"/>
      <c r="Q2" s="112"/>
      <c r="R2" s="112" t="s">
        <v>7</v>
      </c>
      <c r="S2" s="112"/>
      <c r="T2" s="112"/>
      <c r="U2" s="112"/>
      <c r="V2" s="112"/>
      <c r="W2" s="112"/>
      <c r="X2" s="112"/>
      <c r="Y2" s="112"/>
      <c r="Z2" s="112" t="s">
        <v>8</v>
      </c>
      <c r="AA2" s="112"/>
      <c r="AB2" s="112"/>
      <c r="AC2" s="112"/>
      <c r="AD2" s="18" t="s">
        <v>9</v>
      </c>
      <c r="AE2" s="112" t="s">
        <v>10</v>
      </c>
      <c r="AF2" s="112"/>
      <c r="AG2" s="112" t="s">
        <v>11</v>
      </c>
      <c r="AH2" s="116"/>
      <c r="AI2" s="111" t="s">
        <v>12</v>
      </c>
      <c r="AJ2" s="112"/>
      <c r="AK2" s="112" t="s">
        <v>13</v>
      </c>
      <c r="AL2" s="112"/>
      <c r="AM2" s="112" t="s">
        <v>14</v>
      </c>
      <c r="AN2" s="112"/>
      <c r="AO2" s="112" t="s">
        <v>15</v>
      </c>
      <c r="AP2" s="112"/>
      <c r="AQ2" s="112"/>
      <c r="AR2" s="112" t="s">
        <v>16</v>
      </c>
      <c r="AS2" s="112"/>
      <c r="AT2" s="112"/>
      <c r="AU2" s="112"/>
      <c r="AV2" s="112"/>
      <c r="AW2" s="112" t="s">
        <v>17</v>
      </c>
      <c r="AX2" s="112"/>
      <c r="AY2" s="112"/>
      <c r="AZ2" s="112"/>
      <c r="BA2" s="112"/>
      <c r="BB2" s="112"/>
      <c r="BC2" s="112" t="s">
        <v>18</v>
      </c>
      <c r="BD2" s="112"/>
      <c r="BE2" s="112" t="s">
        <v>19</v>
      </c>
      <c r="BF2" s="116"/>
    </row>
    <row r="3" spans="1:58" s="1" customFormat="1" ht="16.5" customHeight="1" thickBot="1">
      <c r="A3" s="3"/>
      <c r="B3" s="17" t="s">
        <v>2</v>
      </c>
      <c r="C3" s="83">
        <v>1</v>
      </c>
      <c r="D3" s="84">
        <v>2</v>
      </c>
      <c r="E3" s="84">
        <v>3</v>
      </c>
      <c r="F3" s="84">
        <v>4</v>
      </c>
      <c r="G3" s="84">
        <v>5</v>
      </c>
      <c r="H3" s="84">
        <v>6</v>
      </c>
      <c r="I3" s="84">
        <v>7</v>
      </c>
      <c r="J3" s="84">
        <v>8</v>
      </c>
      <c r="K3" s="84">
        <v>9</v>
      </c>
      <c r="L3" s="84">
        <v>10</v>
      </c>
      <c r="M3" s="84">
        <v>11</v>
      </c>
      <c r="N3" s="84">
        <v>12</v>
      </c>
      <c r="O3" s="84">
        <v>13</v>
      </c>
      <c r="P3" s="84">
        <v>14</v>
      </c>
      <c r="Q3" s="84">
        <v>15</v>
      </c>
      <c r="R3" s="84">
        <v>16</v>
      </c>
      <c r="S3" s="84">
        <v>17</v>
      </c>
      <c r="T3" s="84">
        <v>18</v>
      </c>
      <c r="U3" s="84">
        <v>19</v>
      </c>
      <c r="V3" s="84">
        <v>20</v>
      </c>
      <c r="W3" s="84">
        <v>21</v>
      </c>
      <c r="X3" s="84">
        <v>22</v>
      </c>
      <c r="Y3" s="84">
        <v>23</v>
      </c>
      <c r="Z3" s="84">
        <v>24</v>
      </c>
      <c r="AA3" s="84">
        <v>25</v>
      </c>
      <c r="AB3" s="84">
        <v>26</v>
      </c>
      <c r="AC3" s="84">
        <v>27</v>
      </c>
      <c r="AD3" s="84">
        <v>28</v>
      </c>
      <c r="AE3" s="84">
        <v>29</v>
      </c>
      <c r="AF3" s="84">
        <v>30</v>
      </c>
      <c r="AG3" s="84">
        <v>31</v>
      </c>
      <c r="AH3" s="85">
        <v>32</v>
      </c>
      <c r="AI3" s="86">
        <v>33</v>
      </c>
      <c r="AJ3" s="87">
        <v>34</v>
      </c>
      <c r="AK3" s="87">
        <v>35</v>
      </c>
      <c r="AL3" s="87">
        <v>36</v>
      </c>
      <c r="AM3" s="87">
        <v>37</v>
      </c>
      <c r="AN3" s="87">
        <v>38</v>
      </c>
      <c r="AO3" s="87">
        <v>39</v>
      </c>
      <c r="AP3" s="87">
        <v>40</v>
      </c>
      <c r="AQ3" s="87">
        <v>41</v>
      </c>
      <c r="AR3" s="87">
        <v>42</v>
      </c>
      <c r="AS3" s="87">
        <v>43</v>
      </c>
      <c r="AT3" s="87">
        <v>44</v>
      </c>
      <c r="AU3" s="87">
        <v>45</v>
      </c>
      <c r="AV3" s="87">
        <v>46</v>
      </c>
      <c r="AW3" s="87">
        <v>47</v>
      </c>
      <c r="AX3" s="87">
        <v>48</v>
      </c>
      <c r="AY3" s="87">
        <v>49</v>
      </c>
      <c r="AZ3" s="87">
        <v>50</v>
      </c>
      <c r="BA3" s="87">
        <v>51</v>
      </c>
      <c r="BB3" s="87">
        <v>52</v>
      </c>
      <c r="BC3" s="87">
        <v>53</v>
      </c>
      <c r="BD3" s="87">
        <v>54</v>
      </c>
      <c r="BE3" s="87">
        <v>55</v>
      </c>
      <c r="BF3" s="88">
        <v>56</v>
      </c>
    </row>
    <row r="4" spans="1:58" ht="24.75" customHeight="1">
      <c r="A4" s="4">
        <v>1</v>
      </c>
      <c r="B4" s="19" t="str">
        <f>CONCATENATE('Liste élèves'!C7," ",'Liste élèves'!D7)</f>
        <v>TEST Elève 1</v>
      </c>
      <c r="C4" s="20">
        <v>0</v>
      </c>
      <c r="D4" s="21">
        <v>0</v>
      </c>
      <c r="E4" s="21">
        <v>1</v>
      </c>
      <c r="F4" s="21">
        <v>0</v>
      </c>
      <c r="G4" s="21">
        <v>0</v>
      </c>
      <c r="H4" s="21">
        <v>0</v>
      </c>
      <c r="I4" s="21">
        <v>1</v>
      </c>
      <c r="J4" s="21">
        <v>0</v>
      </c>
      <c r="K4" s="21">
        <v>0</v>
      </c>
      <c r="L4" s="21">
        <v>1</v>
      </c>
      <c r="M4" s="21">
        <v>0</v>
      </c>
      <c r="N4" s="21">
        <v>1</v>
      </c>
      <c r="O4" s="21">
        <v>0</v>
      </c>
      <c r="P4" s="21">
        <v>1</v>
      </c>
      <c r="Q4" s="21">
        <v>1</v>
      </c>
      <c r="R4" s="21">
        <v>1</v>
      </c>
      <c r="S4" s="21">
        <v>1</v>
      </c>
      <c r="T4" s="21">
        <v>9</v>
      </c>
      <c r="U4" s="21">
        <v>0</v>
      </c>
      <c r="V4" s="21">
        <v>9</v>
      </c>
      <c r="W4" s="21">
        <v>1</v>
      </c>
      <c r="X4" s="21">
        <v>1</v>
      </c>
      <c r="Y4" s="21">
        <v>1</v>
      </c>
      <c r="Z4" s="37" t="s">
        <v>52</v>
      </c>
      <c r="AA4" s="37" t="s">
        <v>52</v>
      </c>
      <c r="AB4" s="37" t="s">
        <v>52</v>
      </c>
      <c r="AC4" s="37" t="s">
        <v>52</v>
      </c>
      <c r="AD4" s="21">
        <v>1</v>
      </c>
      <c r="AE4" s="21">
        <v>1</v>
      </c>
      <c r="AF4" s="21">
        <v>4</v>
      </c>
      <c r="AG4" s="21">
        <v>1</v>
      </c>
      <c r="AH4" s="22">
        <v>9</v>
      </c>
      <c r="AI4" s="20">
        <v>1</v>
      </c>
      <c r="AJ4" s="21">
        <v>1</v>
      </c>
      <c r="AK4" s="21">
        <v>1</v>
      </c>
      <c r="AL4" s="37">
        <v>9</v>
      </c>
      <c r="AM4" s="21">
        <v>1</v>
      </c>
      <c r="AN4" s="21">
        <v>1</v>
      </c>
      <c r="AO4" s="21">
        <v>0</v>
      </c>
      <c r="AP4" s="21">
        <v>9</v>
      </c>
      <c r="AQ4" s="21">
        <v>0</v>
      </c>
      <c r="AR4" s="37">
        <v>1</v>
      </c>
      <c r="AS4" s="37" t="s">
        <v>52</v>
      </c>
      <c r="AT4" s="37" t="s">
        <v>52</v>
      </c>
      <c r="AU4" s="37" t="s">
        <v>52</v>
      </c>
      <c r="AV4" s="37" t="s">
        <v>52</v>
      </c>
      <c r="AW4" s="21">
        <v>1</v>
      </c>
      <c r="AX4" s="21">
        <v>9</v>
      </c>
      <c r="AY4" s="21">
        <v>0</v>
      </c>
      <c r="AZ4" s="21">
        <v>0</v>
      </c>
      <c r="BA4" s="21">
        <v>1</v>
      </c>
      <c r="BB4" s="21">
        <v>1</v>
      </c>
      <c r="BC4" s="21">
        <v>1</v>
      </c>
      <c r="BD4" s="21">
        <v>1</v>
      </c>
      <c r="BE4" s="21">
        <v>9</v>
      </c>
      <c r="BF4" s="23">
        <v>0</v>
      </c>
    </row>
    <row r="5" spans="1:58" ht="24.75" customHeight="1">
      <c r="A5" s="5">
        <v>2</v>
      </c>
      <c r="B5" s="19" t="str">
        <f>CONCATENATE('Liste élèves'!C8," ",'Liste élèves'!D8)</f>
        <v>Nom2 Prénom 2</v>
      </c>
      <c r="C5" s="50"/>
      <c r="D5" s="25"/>
      <c r="E5" s="25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6"/>
      <c r="AI5" s="24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7"/>
    </row>
    <row r="6" spans="1:58" ht="24.75" customHeight="1">
      <c r="A6" s="5">
        <v>3</v>
      </c>
      <c r="B6" s="19" t="str">
        <f>CONCATENATE('Liste élèves'!C9," ",'Liste élèves'!D9)</f>
        <v>Nom3 Prénom 3</v>
      </c>
      <c r="C6" s="24">
        <v>1</v>
      </c>
      <c r="D6" s="25">
        <v>0</v>
      </c>
      <c r="E6" s="25">
        <v>1</v>
      </c>
      <c r="F6" s="25">
        <v>1</v>
      </c>
      <c r="G6" s="25">
        <v>1</v>
      </c>
      <c r="H6" s="25">
        <v>0</v>
      </c>
      <c r="I6" s="25">
        <v>1</v>
      </c>
      <c r="J6" s="25">
        <v>1</v>
      </c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6"/>
      <c r="AI6" s="24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7"/>
    </row>
    <row r="7" spans="1:58" ht="24.75" customHeight="1">
      <c r="A7" s="5">
        <v>4</v>
      </c>
      <c r="B7" s="19" t="str">
        <f>CONCATENATE('Liste élèves'!C10," ",'Liste élèves'!D10)</f>
        <v>Nom4 Prénom 4</v>
      </c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6"/>
      <c r="AI7" s="24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7"/>
    </row>
    <row r="8" spans="1:58" ht="24.75" customHeight="1">
      <c r="A8" s="5">
        <v>5</v>
      </c>
      <c r="B8" s="19" t="str">
        <f>CONCATENATE('Liste élèves'!C11," ",'Liste élèves'!D11)</f>
        <v>Nom5 Prénom 5</v>
      </c>
      <c r="C8" s="24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6"/>
      <c r="AI8" s="24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7"/>
    </row>
    <row r="9" spans="1:58" ht="24.75" customHeight="1">
      <c r="A9" s="5">
        <v>6</v>
      </c>
      <c r="B9" s="19" t="str">
        <f>CONCATENATE('Liste élèves'!C12," ",'Liste élèves'!D12)</f>
        <v>Nom6 Prénom 6</v>
      </c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6"/>
      <c r="AI9" s="24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7"/>
    </row>
    <row r="10" spans="1:58" ht="24.75" customHeight="1">
      <c r="A10" s="5">
        <v>7</v>
      </c>
      <c r="B10" s="19" t="str">
        <f>CONCATENATE('Liste élèves'!C13," ",'Liste élèves'!D13)</f>
        <v>Nom7 Prénom 7</v>
      </c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6"/>
      <c r="AI10" s="24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7"/>
    </row>
    <row r="11" spans="1:58" ht="24.75" customHeight="1">
      <c r="A11" s="5">
        <v>8</v>
      </c>
      <c r="B11" s="19" t="str">
        <f>CONCATENATE('Liste élèves'!C14," ",'Liste élèves'!D14)</f>
        <v>Nom8 Prénom 8</v>
      </c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6"/>
      <c r="AI11" s="24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7"/>
    </row>
    <row r="12" spans="1:58" ht="24.75" customHeight="1">
      <c r="A12" s="5">
        <v>9</v>
      </c>
      <c r="B12" s="19" t="str">
        <f>CONCATENATE('Liste élèves'!C15," ",'Liste élèves'!D15)</f>
        <v>Nom9 Prénom 9</v>
      </c>
      <c r="C12" s="24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  <c r="AI12" s="24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7"/>
    </row>
    <row r="13" spans="1:58" ht="24.75" customHeight="1">
      <c r="A13" s="5">
        <v>10</v>
      </c>
      <c r="B13" s="19" t="str">
        <f>CONCATENATE('Liste élèves'!C16," ",'Liste élèves'!D16)</f>
        <v>Nom10 Prénom 10</v>
      </c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6"/>
      <c r="AI13" s="24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7"/>
    </row>
    <row r="14" spans="1:58" ht="24.75" customHeight="1">
      <c r="A14" s="5">
        <v>11</v>
      </c>
      <c r="B14" s="19" t="str">
        <f>CONCATENATE('Liste élèves'!C17," ",'Liste élèves'!D17)</f>
        <v>Nom11 Prénom 11</v>
      </c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6"/>
      <c r="AI14" s="24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7"/>
    </row>
    <row r="15" spans="1:58" ht="24.75" customHeight="1">
      <c r="A15" s="5">
        <v>12</v>
      </c>
      <c r="B15" s="19" t="str">
        <f>CONCATENATE('Liste élèves'!C18," ",'Liste élèves'!D18)</f>
        <v>Nom12 Prénom 12</v>
      </c>
      <c r="C15" s="24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6"/>
      <c r="AI15" s="24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7"/>
    </row>
    <row r="16" spans="1:58" ht="24.75" customHeight="1">
      <c r="A16" s="5">
        <v>13</v>
      </c>
      <c r="B16" s="19" t="str">
        <f>CONCATENATE('Liste élèves'!C19," ",'Liste élèves'!D19)</f>
        <v>Nom13 Prénom 13</v>
      </c>
      <c r="C16" s="24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6"/>
      <c r="AI16" s="24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7"/>
    </row>
    <row r="17" spans="1:58" ht="24.75" customHeight="1">
      <c r="A17" s="5">
        <v>14</v>
      </c>
      <c r="B17" s="19" t="str">
        <f>CONCATENATE('Liste élèves'!C20," ",'Liste élèves'!D20)</f>
        <v>Nom14 Prénom 14</v>
      </c>
      <c r="C17" s="50"/>
      <c r="D17" s="25"/>
      <c r="E17" s="25"/>
      <c r="F17" s="25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6"/>
      <c r="AI17" s="24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7"/>
    </row>
    <row r="18" spans="1:58" ht="24.75" customHeight="1">
      <c r="A18" s="5">
        <v>15</v>
      </c>
      <c r="B18" s="19" t="str">
        <f>CONCATENATE('Liste élèves'!C21," ",'Liste élèves'!D21)</f>
        <v>Nom15 Prénom 15</v>
      </c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6"/>
      <c r="AI18" s="24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7"/>
    </row>
    <row r="19" spans="1:58" ht="24.75" customHeight="1">
      <c r="A19" s="5">
        <v>16</v>
      </c>
      <c r="B19" s="19" t="str">
        <f>CONCATENATE('Liste élèves'!C22," ",'Liste élèves'!D22)</f>
        <v>Nom16 Prénom 16</v>
      </c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6"/>
      <c r="AI19" s="24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7"/>
    </row>
    <row r="20" spans="1:58" ht="24.75" customHeight="1">
      <c r="A20" s="5">
        <v>17</v>
      </c>
      <c r="B20" s="19" t="str">
        <f>CONCATENATE('Liste élèves'!C23," ",'Liste élèves'!D23)</f>
        <v>Nom17 Prénom 17</v>
      </c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6"/>
      <c r="AI20" s="24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7"/>
    </row>
    <row r="21" spans="1:58" ht="24.75" customHeight="1">
      <c r="A21" s="5">
        <v>18</v>
      </c>
      <c r="B21" s="19" t="str">
        <f>CONCATENATE('Liste élèves'!C24," ",'Liste élèves'!D24)</f>
        <v>Nom18 Prénom 18</v>
      </c>
      <c r="C21" s="2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6"/>
      <c r="AI21" s="24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7"/>
    </row>
    <row r="22" spans="1:58" ht="24.75" customHeight="1">
      <c r="A22" s="5">
        <v>19</v>
      </c>
      <c r="B22" s="19" t="str">
        <f>CONCATENATE('Liste élèves'!C25," ",'Liste élèves'!D25)</f>
        <v>Nom19 Prénom 19</v>
      </c>
      <c r="C22" s="24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6"/>
      <c r="AI22" s="24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7"/>
    </row>
    <row r="23" spans="1:58" ht="24.75" customHeight="1">
      <c r="A23" s="5">
        <v>20</v>
      </c>
      <c r="B23" s="19" t="str">
        <f>CONCATENATE('Liste élèves'!C26," ",'Liste élèves'!D26)</f>
        <v>Nom20 Prénom 20</v>
      </c>
      <c r="C23" s="24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6"/>
      <c r="AI23" s="24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7"/>
    </row>
    <row r="24" spans="1:58" ht="24.75" customHeight="1">
      <c r="A24" s="5">
        <v>21</v>
      </c>
      <c r="B24" s="19" t="str">
        <f>CONCATENATE('Liste élèves'!C27," ",'Liste élèves'!D27)</f>
        <v>Nom21 Prénom 21</v>
      </c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6"/>
      <c r="AI24" s="24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7"/>
    </row>
    <row r="25" spans="1:58" ht="24.75" customHeight="1">
      <c r="A25" s="5">
        <v>22</v>
      </c>
      <c r="B25" s="19" t="str">
        <f>CONCATENATE('Liste élèves'!C28," ",'Liste élèves'!D28)</f>
        <v>Nom22 Prénom 22</v>
      </c>
      <c r="C25" s="24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6"/>
      <c r="AI25" s="24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7"/>
    </row>
    <row r="26" spans="1:58" ht="24.75" customHeight="1">
      <c r="A26" s="5">
        <v>23</v>
      </c>
      <c r="B26" s="19" t="str">
        <f>CONCATENATE('Liste élèves'!C29," ",'Liste élèves'!D29)</f>
        <v>Nom23 Prénom 23</v>
      </c>
      <c r="C26" s="2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6"/>
      <c r="AI26" s="24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7"/>
    </row>
    <row r="27" spans="1:58" ht="24.75" customHeight="1">
      <c r="A27" s="5">
        <v>24</v>
      </c>
      <c r="B27" s="19" t="str">
        <f>CONCATENATE('Liste élèves'!C30," ",'Liste élèves'!D30)</f>
        <v>Nom24 Prénom 24</v>
      </c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6"/>
      <c r="AI27" s="24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7"/>
    </row>
    <row r="28" spans="1:58" ht="24.75" customHeight="1">
      <c r="A28" s="5">
        <v>25</v>
      </c>
      <c r="B28" s="19" t="str">
        <f>CONCATENATE('Liste élèves'!C31," ",'Liste élèves'!D31)</f>
        <v>Nom25 Prénom 25</v>
      </c>
      <c r="C28" s="24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6"/>
      <c r="AI28" s="24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7"/>
    </row>
    <row r="29" spans="1:58" ht="24.75" customHeight="1">
      <c r="A29" s="5">
        <v>26</v>
      </c>
      <c r="B29" s="19" t="str">
        <f>CONCATENATE('Liste élèves'!C32," ",'Liste élèves'!D32)</f>
        <v>Nom26 Prénom 26</v>
      </c>
      <c r="C29" s="24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6"/>
      <c r="AI29" s="24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7"/>
    </row>
    <row r="30" spans="1:58" ht="24.75" customHeight="1">
      <c r="A30" s="5">
        <v>27</v>
      </c>
      <c r="B30" s="19" t="str">
        <f>CONCATENATE('Liste élèves'!C33," ",'Liste élèves'!D33)</f>
        <v>Nom27 Prénom 27</v>
      </c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6"/>
      <c r="AI30" s="24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7"/>
    </row>
    <row r="31" spans="1:58" ht="24.75" customHeight="1" thickBot="1">
      <c r="A31" s="6">
        <v>28</v>
      </c>
      <c r="B31" s="19" t="str">
        <f>CONCATENATE('Liste élèves'!C34," ",'Liste élèves'!D34)</f>
        <v>Nom28 Prénom 28</v>
      </c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30"/>
      <c r="AI31" s="28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31"/>
    </row>
    <row r="32" spans="1:59" ht="17.25" customHeight="1" thickBot="1">
      <c r="A32" s="89"/>
      <c r="B32" s="49"/>
      <c r="C32" s="83">
        <v>1</v>
      </c>
      <c r="D32" s="84">
        <v>2</v>
      </c>
      <c r="E32" s="84">
        <v>3</v>
      </c>
      <c r="F32" s="84">
        <v>4</v>
      </c>
      <c r="G32" s="84">
        <v>5</v>
      </c>
      <c r="H32" s="84">
        <v>6</v>
      </c>
      <c r="I32" s="84">
        <v>7</v>
      </c>
      <c r="J32" s="84">
        <v>8</v>
      </c>
      <c r="K32" s="84">
        <v>9</v>
      </c>
      <c r="L32" s="84">
        <v>10</v>
      </c>
      <c r="M32" s="84">
        <v>11</v>
      </c>
      <c r="N32" s="84">
        <v>12</v>
      </c>
      <c r="O32" s="84">
        <v>13</v>
      </c>
      <c r="P32" s="84">
        <v>14</v>
      </c>
      <c r="Q32" s="84">
        <v>15</v>
      </c>
      <c r="R32" s="84">
        <v>16</v>
      </c>
      <c r="S32" s="84">
        <v>17</v>
      </c>
      <c r="T32" s="84">
        <v>18</v>
      </c>
      <c r="U32" s="84">
        <v>19</v>
      </c>
      <c r="V32" s="84">
        <v>20</v>
      </c>
      <c r="W32" s="84">
        <v>21</v>
      </c>
      <c r="X32" s="84">
        <v>22</v>
      </c>
      <c r="Y32" s="84">
        <v>23</v>
      </c>
      <c r="Z32" s="84">
        <v>24</v>
      </c>
      <c r="AA32" s="84">
        <v>25</v>
      </c>
      <c r="AB32" s="84">
        <v>26</v>
      </c>
      <c r="AC32" s="84">
        <v>27</v>
      </c>
      <c r="AD32" s="84">
        <v>28</v>
      </c>
      <c r="AE32" s="84">
        <v>29</v>
      </c>
      <c r="AF32" s="84">
        <v>30</v>
      </c>
      <c r="AG32" s="84">
        <v>31</v>
      </c>
      <c r="AH32" s="85">
        <v>32</v>
      </c>
      <c r="AI32" s="86">
        <v>33</v>
      </c>
      <c r="AJ32" s="87">
        <v>34</v>
      </c>
      <c r="AK32" s="87">
        <v>35</v>
      </c>
      <c r="AL32" s="87">
        <v>36</v>
      </c>
      <c r="AM32" s="87">
        <v>37</v>
      </c>
      <c r="AN32" s="87">
        <v>38</v>
      </c>
      <c r="AO32" s="87">
        <v>39</v>
      </c>
      <c r="AP32" s="87">
        <v>40</v>
      </c>
      <c r="AQ32" s="87">
        <v>41</v>
      </c>
      <c r="AR32" s="87">
        <v>42</v>
      </c>
      <c r="AS32" s="87">
        <v>43</v>
      </c>
      <c r="AT32" s="87">
        <v>44</v>
      </c>
      <c r="AU32" s="87">
        <v>45</v>
      </c>
      <c r="AV32" s="87">
        <v>46</v>
      </c>
      <c r="AW32" s="87">
        <v>47</v>
      </c>
      <c r="AX32" s="87">
        <v>48</v>
      </c>
      <c r="AY32" s="87">
        <v>49</v>
      </c>
      <c r="AZ32" s="87">
        <v>50</v>
      </c>
      <c r="BA32" s="87">
        <v>51</v>
      </c>
      <c r="BB32" s="87">
        <v>52</v>
      </c>
      <c r="BC32" s="87">
        <v>53</v>
      </c>
      <c r="BD32" s="87">
        <v>54</v>
      </c>
      <c r="BE32" s="87">
        <v>55</v>
      </c>
      <c r="BF32" s="88">
        <v>56</v>
      </c>
      <c r="BG32" s="78"/>
    </row>
    <row r="33" spans="1:58" ht="15.75" customHeight="1">
      <c r="A33" s="89"/>
      <c r="B33" s="91" t="s">
        <v>135</v>
      </c>
      <c r="C33" s="90">
        <f>COUNTIF(C4:C31,1)</f>
        <v>1</v>
      </c>
      <c r="D33" s="90">
        <f aca="true" t="shared" si="0" ref="D33:BF33">COUNTIF(D4:D31,1)</f>
        <v>0</v>
      </c>
      <c r="E33" s="90">
        <f t="shared" si="0"/>
        <v>2</v>
      </c>
      <c r="F33" s="90">
        <f t="shared" si="0"/>
        <v>1</v>
      </c>
      <c r="G33" s="90">
        <f t="shared" si="0"/>
        <v>1</v>
      </c>
      <c r="H33" s="90">
        <f t="shared" si="0"/>
        <v>0</v>
      </c>
      <c r="I33" s="90">
        <f t="shared" si="0"/>
        <v>2</v>
      </c>
      <c r="J33" s="90">
        <f t="shared" si="0"/>
        <v>1</v>
      </c>
      <c r="K33" s="90">
        <f t="shared" si="0"/>
        <v>0</v>
      </c>
      <c r="L33" s="90">
        <f t="shared" si="0"/>
        <v>1</v>
      </c>
      <c r="M33" s="90">
        <f t="shared" si="0"/>
        <v>0</v>
      </c>
      <c r="N33" s="90">
        <f t="shared" si="0"/>
        <v>1</v>
      </c>
      <c r="O33" s="90">
        <f t="shared" si="0"/>
        <v>0</v>
      </c>
      <c r="P33" s="90">
        <f t="shared" si="0"/>
        <v>1</v>
      </c>
      <c r="Q33" s="90">
        <f t="shared" si="0"/>
        <v>1</v>
      </c>
      <c r="R33" s="90">
        <f t="shared" si="0"/>
        <v>1</v>
      </c>
      <c r="S33" s="90">
        <f t="shared" si="0"/>
        <v>1</v>
      </c>
      <c r="T33" s="90">
        <f t="shared" si="0"/>
        <v>0</v>
      </c>
      <c r="U33" s="90">
        <f t="shared" si="0"/>
        <v>0</v>
      </c>
      <c r="V33" s="90">
        <f t="shared" si="0"/>
        <v>0</v>
      </c>
      <c r="W33" s="90">
        <f t="shared" si="0"/>
        <v>1</v>
      </c>
      <c r="X33" s="90">
        <f t="shared" si="0"/>
        <v>1</v>
      </c>
      <c r="Y33" s="90">
        <f t="shared" si="0"/>
        <v>1</v>
      </c>
      <c r="Z33" s="90">
        <f t="shared" si="0"/>
        <v>0</v>
      </c>
      <c r="AA33" s="90">
        <f t="shared" si="0"/>
        <v>0</v>
      </c>
      <c r="AB33" s="90">
        <f t="shared" si="0"/>
        <v>0</v>
      </c>
      <c r="AC33" s="90">
        <f t="shared" si="0"/>
        <v>0</v>
      </c>
      <c r="AD33" s="90">
        <f t="shared" si="0"/>
        <v>1</v>
      </c>
      <c r="AE33" s="90">
        <f t="shared" si="0"/>
        <v>1</v>
      </c>
      <c r="AF33" s="90">
        <f t="shared" si="0"/>
        <v>0</v>
      </c>
      <c r="AG33" s="90">
        <f t="shared" si="0"/>
        <v>1</v>
      </c>
      <c r="AH33" s="90">
        <f t="shared" si="0"/>
        <v>0</v>
      </c>
      <c r="AI33" s="90">
        <f t="shared" si="0"/>
        <v>1</v>
      </c>
      <c r="AJ33" s="90">
        <f t="shared" si="0"/>
        <v>1</v>
      </c>
      <c r="AK33" s="90">
        <f t="shared" si="0"/>
        <v>1</v>
      </c>
      <c r="AL33" s="90">
        <f t="shared" si="0"/>
        <v>0</v>
      </c>
      <c r="AM33" s="90">
        <f t="shared" si="0"/>
        <v>1</v>
      </c>
      <c r="AN33" s="90">
        <f t="shared" si="0"/>
        <v>1</v>
      </c>
      <c r="AO33" s="90">
        <f t="shared" si="0"/>
        <v>0</v>
      </c>
      <c r="AP33" s="90">
        <f t="shared" si="0"/>
        <v>0</v>
      </c>
      <c r="AQ33" s="90">
        <f t="shared" si="0"/>
        <v>0</v>
      </c>
      <c r="AR33" s="90">
        <f t="shared" si="0"/>
        <v>1</v>
      </c>
      <c r="AS33" s="90">
        <f t="shared" si="0"/>
        <v>0</v>
      </c>
      <c r="AT33" s="90">
        <f t="shared" si="0"/>
        <v>0</v>
      </c>
      <c r="AU33" s="90">
        <f t="shared" si="0"/>
        <v>0</v>
      </c>
      <c r="AV33" s="90">
        <f t="shared" si="0"/>
        <v>0</v>
      </c>
      <c r="AW33" s="90">
        <f t="shared" si="0"/>
        <v>1</v>
      </c>
      <c r="AX33" s="90">
        <f t="shared" si="0"/>
        <v>0</v>
      </c>
      <c r="AY33" s="90">
        <f t="shared" si="0"/>
        <v>0</v>
      </c>
      <c r="AZ33" s="90">
        <f t="shared" si="0"/>
        <v>0</v>
      </c>
      <c r="BA33" s="90">
        <f t="shared" si="0"/>
        <v>1</v>
      </c>
      <c r="BB33" s="90">
        <f t="shared" si="0"/>
        <v>1</v>
      </c>
      <c r="BC33" s="90">
        <f t="shared" si="0"/>
        <v>1</v>
      </c>
      <c r="BD33" s="90">
        <f t="shared" si="0"/>
        <v>1</v>
      </c>
      <c r="BE33" s="90">
        <f t="shared" si="0"/>
        <v>0</v>
      </c>
      <c r="BF33" s="90">
        <f t="shared" si="0"/>
        <v>0</v>
      </c>
    </row>
    <row r="34" spans="1:58" ht="18" customHeight="1">
      <c r="A34" s="89"/>
      <c r="B34" s="91" t="s">
        <v>136</v>
      </c>
      <c r="C34" s="90">
        <f>COUNT(C4:C31)</f>
        <v>2</v>
      </c>
      <c r="D34" s="90">
        <f aca="true" t="shared" si="1" ref="D34:BF34">COUNT(D4:D31)</f>
        <v>2</v>
      </c>
      <c r="E34" s="90">
        <f t="shared" si="1"/>
        <v>2</v>
      </c>
      <c r="F34" s="90">
        <f t="shared" si="1"/>
        <v>2</v>
      </c>
      <c r="G34" s="90">
        <f t="shared" si="1"/>
        <v>2</v>
      </c>
      <c r="H34" s="90">
        <f t="shared" si="1"/>
        <v>2</v>
      </c>
      <c r="I34" s="90">
        <f t="shared" si="1"/>
        <v>2</v>
      </c>
      <c r="J34" s="90">
        <f t="shared" si="1"/>
        <v>2</v>
      </c>
      <c r="K34" s="90">
        <f t="shared" si="1"/>
        <v>1</v>
      </c>
      <c r="L34" s="90">
        <f t="shared" si="1"/>
        <v>1</v>
      </c>
      <c r="M34" s="90">
        <f t="shared" si="1"/>
        <v>1</v>
      </c>
      <c r="N34" s="90">
        <f t="shared" si="1"/>
        <v>1</v>
      </c>
      <c r="O34" s="90">
        <f t="shared" si="1"/>
        <v>1</v>
      </c>
      <c r="P34" s="90">
        <f t="shared" si="1"/>
        <v>1</v>
      </c>
      <c r="Q34" s="90">
        <f t="shared" si="1"/>
        <v>1</v>
      </c>
      <c r="R34" s="90">
        <f t="shared" si="1"/>
        <v>1</v>
      </c>
      <c r="S34" s="90">
        <f t="shared" si="1"/>
        <v>1</v>
      </c>
      <c r="T34" s="90">
        <f t="shared" si="1"/>
        <v>1</v>
      </c>
      <c r="U34" s="90">
        <f t="shared" si="1"/>
        <v>1</v>
      </c>
      <c r="V34" s="90">
        <f t="shared" si="1"/>
        <v>1</v>
      </c>
      <c r="W34" s="90">
        <f t="shared" si="1"/>
        <v>1</v>
      </c>
      <c r="X34" s="90">
        <f t="shared" si="1"/>
        <v>1</v>
      </c>
      <c r="Y34" s="90">
        <f t="shared" si="1"/>
        <v>1</v>
      </c>
      <c r="Z34" s="90">
        <f t="shared" si="1"/>
        <v>0</v>
      </c>
      <c r="AA34" s="90">
        <f t="shared" si="1"/>
        <v>0</v>
      </c>
      <c r="AB34" s="90">
        <f t="shared" si="1"/>
        <v>0</v>
      </c>
      <c r="AC34" s="90">
        <f t="shared" si="1"/>
        <v>0</v>
      </c>
      <c r="AD34" s="90">
        <f t="shared" si="1"/>
        <v>1</v>
      </c>
      <c r="AE34" s="90">
        <f t="shared" si="1"/>
        <v>1</v>
      </c>
      <c r="AF34" s="90">
        <f t="shared" si="1"/>
        <v>1</v>
      </c>
      <c r="AG34" s="90">
        <f t="shared" si="1"/>
        <v>1</v>
      </c>
      <c r="AH34" s="90">
        <f t="shared" si="1"/>
        <v>1</v>
      </c>
      <c r="AI34" s="90">
        <f t="shared" si="1"/>
        <v>1</v>
      </c>
      <c r="AJ34" s="90">
        <f t="shared" si="1"/>
        <v>1</v>
      </c>
      <c r="AK34" s="90">
        <f t="shared" si="1"/>
        <v>1</v>
      </c>
      <c r="AL34" s="90">
        <f t="shared" si="1"/>
        <v>1</v>
      </c>
      <c r="AM34" s="90">
        <f t="shared" si="1"/>
        <v>1</v>
      </c>
      <c r="AN34" s="90">
        <f t="shared" si="1"/>
        <v>1</v>
      </c>
      <c r="AO34" s="90">
        <f t="shared" si="1"/>
        <v>1</v>
      </c>
      <c r="AP34" s="90">
        <f t="shared" si="1"/>
        <v>1</v>
      </c>
      <c r="AQ34" s="90">
        <f t="shared" si="1"/>
        <v>1</v>
      </c>
      <c r="AR34" s="90">
        <f t="shared" si="1"/>
        <v>1</v>
      </c>
      <c r="AS34" s="90">
        <f t="shared" si="1"/>
        <v>0</v>
      </c>
      <c r="AT34" s="90">
        <f t="shared" si="1"/>
        <v>0</v>
      </c>
      <c r="AU34" s="90">
        <f t="shared" si="1"/>
        <v>0</v>
      </c>
      <c r="AV34" s="90">
        <f t="shared" si="1"/>
        <v>0</v>
      </c>
      <c r="AW34" s="90">
        <f t="shared" si="1"/>
        <v>1</v>
      </c>
      <c r="AX34" s="90">
        <f t="shared" si="1"/>
        <v>1</v>
      </c>
      <c r="AY34" s="90">
        <f t="shared" si="1"/>
        <v>1</v>
      </c>
      <c r="AZ34" s="90">
        <f t="shared" si="1"/>
        <v>1</v>
      </c>
      <c r="BA34" s="90">
        <f t="shared" si="1"/>
        <v>1</v>
      </c>
      <c r="BB34" s="90">
        <f t="shared" si="1"/>
        <v>1</v>
      </c>
      <c r="BC34" s="90">
        <f t="shared" si="1"/>
        <v>1</v>
      </c>
      <c r="BD34" s="90">
        <f t="shared" si="1"/>
        <v>1</v>
      </c>
      <c r="BE34" s="90">
        <f t="shared" si="1"/>
        <v>1</v>
      </c>
      <c r="BF34" s="90">
        <f t="shared" si="1"/>
        <v>1</v>
      </c>
    </row>
    <row r="35" ht="4.5" customHeight="1" thickBot="1"/>
    <row r="36" spans="2:58" s="78" customFormat="1" ht="48.75" customHeight="1" thickBot="1">
      <c r="B36" s="77" t="s">
        <v>134</v>
      </c>
      <c r="C36" s="79">
        <f>_xlfn.IFERROR(COUNTIF(C4:C31,1)/COUNT(C4:C31),"A")</f>
        <v>0.5</v>
      </c>
      <c r="D36" s="80">
        <f aca="true" t="shared" si="2" ref="D36:BF36">_xlfn.IFERROR(COUNTIF(D4:D31,1)/COUNT(D4:D31),"A")</f>
        <v>0</v>
      </c>
      <c r="E36" s="80">
        <f t="shared" si="2"/>
        <v>1</v>
      </c>
      <c r="F36" s="80">
        <f t="shared" si="2"/>
        <v>0.5</v>
      </c>
      <c r="G36" s="80">
        <f t="shared" si="2"/>
        <v>0.5</v>
      </c>
      <c r="H36" s="80">
        <f t="shared" si="2"/>
        <v>0</v>
      </c>
      <c r="I36" s="80">
        <f t="shared" si="2"/>
        <v>1</v>
      </c>
      <c r="J36" s="80">
        <f t="shared" si="2"/>
        <v>0.5</v>
      </c>
      <c r="K36" s="80">
        <f t="shared" si="2"/>
        <v>0</v>
      </c>
      <c r="L36" s="80">
        <f t="shared" si="2"/>
        <v>1</v>
      </c>
      <c r="M36" s="80">
        <f t="shared" si="2"/>
        <v>0</v>
      </c>
      <c r="N36" s="80">
        <f t="shared" si="2"/>
        <v>1</v>
      </c>
      <c r="O36" s="80">
        <f t="shared" si="2"/>
        <v>0</v>
      </c>
      <c r="P36" s="80">
        <f t="shared" si="2"/>
        <v>1</v>
      </c>
      <c r="Q36" s="80">
        <f t="shared" si="2"/>
        <v>1</v>
      </c>
      <c r="R36" s="80">
        <f t="shared" si="2"/>
        <v>1</v>
      </c>
      <c r="S36" s="80">
        <f t="shared" si="2"/>
        <v>1</v>
      </c>
      <c r="T36" s="80">
        <f t="shared" si="2"/>
        <v>0</v>
      </c>
      <c r="U36" s="80">
        <f t="shared" si="2"/>
        <v>0</v>
      </c>
      <c r="V36" s="80">
        <f t="shared" si="2"/>
        <v>0</v>
      </c>
      <c r="W36" s="80">
        <f t="shared" si="2"/>
        <v>1</v>
      </c>
      <c r="X36" s="80">
        <f t="shared" si="2"/>
        <v>1</v>
      </c>
      <c r="Y36" s="80">
        <f t="shared" si="2"/>
        <v>1</v>
      </c>
      <c r="Z36" s="80" t="str">
        <f t="shared" si="2"/>
        <v>A</v>
      </c>
      <c r="AA36" s="80" t="str">
        <f t="shared" si="2"/>
        <v>A</v>
      </c>
      <c r="AB36" s="80" t="str">
        <f t="shared" si="2"/>
        <v>A</v>
      </c>
      <c r="AC36" s="80" t="str">
        <f t="shared" si="2"/>
        <v>A</v>
      </c>
      <c r="AD36" s="80">
        <f t="shared" si="2"/>
        <v>1</v>
      </c>
      <c r="AE36" s="80">
        <f t="shared" si="2"/>
        <v>1</v>
      </c>
      <c r="AF36" s="80">
        <f t="shared" si="2"/>
        <v>0</v>
      </c>
      <c r="AG36" s="80">
        <f t="shared" si="2"/>
        <v>1</v>
      </c>
      <c r="AH36" s="82">
        <f t="shared" si="2"/>
        <v>0</v>
      </c>
      <c r="AI36" s="79">
        <f t="shared" si="2"/>
        <v>1</v>
      </c>
      <c r="AJ36" s="80">
        <f t="shared" si="2"/>
        <v>1</v>
      </c>
      <c r="AK36" s="80">
        <f t="shared" si="2"/>
        <v>1</v>
      </c>
      <c r="AL36" s="80">
        <f t="shared" si="2"/>
        <v>0</v>
      </c>
      <c r="AM36" s="80">
        <f t="shared" si="2"/>
        <v>1</v>
      </c>
      <c r="AN36" s="80">
        <f t="shared" si="2"/>
        <v>1</v>
      </c>
      <c r="AO36" s="80">
        <f t="shared" si="2"/>
        <v>0</v>
      </c>
      <c r="AP36" s="80">
        <f t="shared" si="2"/>
        <v>0</v>
      </c>
      <c r="AQ36" s="80">
        <f t="shared" si="2"/>
        <v>0</v>
      </c>
      <c r="AR36" s="80">
        <f t="shared" si="2"/>
        <v>1</v>
      </c>
      <c r="AS36" s="80" t="str">
        <f t="shared" si="2"/>
        <v>A</v>
      </c>
      <c r="AT36" s="80" t="str">
        <f t="shared" si="2"/>
        <v>A</v>
      </c>
      <c r="AU36" s="80" t="str">
        <f t="shared" si="2"/>
        <v>A</v>
      </c>
      <c r="AV36" s="80" t="str">
        <f t="shared" si="2"/>
        <v>A</v>
      </c>
      <c r="AW36" s="80">
        <f t="shared" si="2"/>
        <v>1</v>
      </c>
      <c r="AX36" s="80">
        <f t="shared" si="2"/>
        <v>0</v>
      </c>
      <c r="AY36" s="80">
        <f t="shared" si="2"/>
        <v>0</v>
      </c>
      <c r="AZ36" s="80">
        <f t="shared" si="2"/>
        <v>0</v>
      </c>
      <c r="BA36" s="80">
        <f t="shared" si="2"/>
        <v>1</v>
      </c>
      <c r="BB36" s="80">
        <f t="shared" si="2"/>
        <v>1</v>
      </c>
      <c r="BC36" s="80">
        <f t="shared" si="2"/>
        <v>1</v>
      </c>
      <c r="BD36" s="80">
        <f t="shared" si="2"/>
        <v>1</v>
      </c>
      <c r="BE36" s="80">
        <f t="shared" si="2"/>
        <v>0</v>
      </c>
      <c r="BF36" s="81">
        <f t="shared" si="2"/>
        <v>0</v>
      </c>
    </row>
    <row r="37" spans="2:58" s="78" customFormat="1" ht="19.5" customHeight="1" thickBot="1">
      <c r="B37" s="77"/>
      <c r="C37" s="111" t="s">
        <v>3</v>
      </c>
      <c r="D37" s="112"/>
      <c r="E37" s="112" t="s">
        <v>4</v>
      </c>
      <c r="F37" s="112"/>
      <c r="G37" s="112"/>
      <c r="H37" s="112"/>
      <c r="I37" s="112" t="s">
        <v>5</v>
      </c>
      <c r="J37" s="112"/>
      <c r="K37" s="112"/>
      <c r="L37" s="112"/>
      <c r="M37" s="112"/>
      <c r="N37" s="112"/>
      <c r="O37" s="112" t="s">
        <v>6</v>
      </c>
      <c r="P37" s="112"/>
      <c r="Q37" s="112"/>
      <c r="R37" s="112" t="s">
        <v>7</v>
      </c>
      <c r="S37" s="112"/>
      <c r="T37" s="112"/>
      <c r="U37" s="112"/>
      <c r="V37" s="112"/>
      <c r="W37" s="112"/>
      <c r="X37" s="112"/>
      <c r="Y37" s="112"/>
      <c r="Z37" s="112" t="s">
        <v>8</v>
      </c>
      <c r="AA37" s="112"/>
      <c r="AB37" s="112"/>
      <c r="AC37" s="112"/>
      <c r="AD37" s="18" t="s">
        <v>9</v>
      </c>
      <c r="AE37" s="112" t="s">
        <v>10</v>
      </c>
      <c r="AF37" s="112"/>
      <c r="AG37" s="112" t="s">
        <v>11</v>
      </c>
      <c r="AH37" s="116"/>
      <c r="AI37" s="111" t="s">
        <v>12</v>
      </c>
      <c r="AJ37" s="112"/>
      <c r="AK37" s="112" t="s">
        <v>13</v>
      </c>
      <c r="AL37" s="112"/>
      <c r="AM37" s="112" t="s">
        <v>14</v>
      </c>
      <c r="AN37" s="112"/>
      <c r="AO37" s="112" t="s">
        <v>15</v>
      </c>
      <c r="AP37" s="112"/>
      <c r="AQ37" s="112"/>
      <c r="AR37" s="112" t="s">
        <v>16</v>
      </c>
      <c r="AS37" s="112"/>
      <c r="AT37" s="112"/>
      <c r="AU37" s="112"/>
      <c r="AV37" s="112"/>
      <c r="AW37" s="112" t="s">
        <v>17</v>
      </c>
      <c r="AX37" s="112"/>
      <c r="AY37" s="112"/>
      <c r="AZ37" s="112"/>
      <c r="BA37" s="112"/>
      <c r="BB37" s="112"/>
      <c r="BC37" s="112" t="s">
        <v>18</v>
      </c>
      <c r="BD37" s="112"/>
      <c r="BE37" s="112" t="s">
        <v>19</v>
      </c>
      <c r="BF37" s="116"/>
    </row>
    <row r="38" spans="2:58" s="78" customFormat="1" ht="19.5" customHeight="1" thickBot="1">
      <c r="B38" s="77"/>
      <c r="C38" s="83">
        <v>1</v>
      </c>
      <c r="D38" s="84">
        <v>2</v>
      </c>
      <c r="E38" s="84">
        <v>3</v>
      </c>
      <c r="F38" s="84">
        <v>4</v>
      </c>
      <c r="G38" s="84">
        <v>5</v>
      </c>
      <c r="H38" s="84">
        <v>6</v>
      </c>
      <c r="I38" s="84">
        <v>7</v>
      </c>
      <c r="J38" s="84">
        <v>8</v>
      </c>
      <c r="K38" s="84">
        <v>9</v>
      </c>
      <c r="L38" s="84">
        <v>10</v>
      </c>
      <c r="M38" s="84">
        <v>11</v>
      </c>
      <c r="N38" s="84">
        <v>12</v>
      </c>
      <c r="O38" s="84">
        <v>13</v>
      </c>
      <c r="P38" s="84">
        <v>14</v>
      </c>
      <c r="Q38" s="84">
        <v>15</v>
      </c>
      <c r="R38" s="84">
        <v>16</v>
      </c>
      <c r="S38" s="84">
        <v>17</v>
      </c>
      <c r="T38" s="84">
        <v>18</v>
      </c>
      <c r="U38" s="84">
        <v>19</v>
      </c>
      <c r="V38" s="84">
        <v>20</v>
      </c>
      <c r="W38" s="84">
        <v>21</v>
      </c>
      <c r="X38" s="84">
        <v>22</v>
      </c>
      <c r="Y38" s="84">
        <v>23</v>
      </c>
      <c r="Z38" s="84">
        <v>24</v>
      </c>
      <c r="AA38" s="84">
        <v>25</v>
      </c>
      <c r="AB38" s="84">
        <v>26</v>
      </c>
      <c r="AC38" s="84">
        <v>27</v>
      </c>
      <c r="AD38" s="84">
        <v>28</v>
      </c>
      <c r="AE38" s="84">
        <v>29</v>
      </c>
      <c r="AF38" s="84">
        <v>30</v>
      </c>
      <c r="AG38" s="84">
        <v>31</v>
      </c>
      <c r="AH38" s="85">
        <v>32</v>
      </c>
      <c r="AI38" s="86">
        <v>33</v>
      </c>
      <c r="AJ38" s="87">
        <v>34</v>
      </c>
      <c r="AK38" s="87">
        <v>35</v>
      </c>
      <c r="AL38" s="87">
        <v>36</v>
      </c>
      <c r="AM38" s="87">
        <v>37</v>
      </c>
      <c r="AN38" s="87">
        <v>38</v>
      </c>
      <c r="AO38" s="87">
        <v>39</v>
      </c>
      <c r="AP38" s="87">
        <v>40</v>
      </c>
      <c r="AQ38" s="87">
        <v>41</v>
      </c>
      <c r="AR38" s="87">
        <v>42</v>
      </c>
      <c r="AS38" s="87">
        <v>43</v>
      </c>
      <c r="AT38" s="87">
        <v>44</v>
      </c>
      <c r="AU38" s="87">
        <v>45</v>
      </c>
      <c r="AV38" s="87">
        <v>46</v>
      </c>
      <c r="AW38" s="87">
        <v>47</v>
      </c>
      <c r="AX38" s="87">
        <v>48</v>
      </c>
      <c r="AY38" s="87">
        <v>49</v>
      </c>
      <c r="AZ38" s="87">
        <v>50</v>
      </c>
      <c r="BA38" s="87">
        <v>51</v>
      </c>
      <c r="BB38" s="87">
        <v>52</v>
      </c>
      <c r="BC38" s="87">
        <v>53</v>
      </c>
      <c r="BD38" s="87">
        <v>54</v>
      </c>
      <c r="BE38" s="87">
        <v>55</v>
      </c>
      <c r="BF38" s="88">
        <v>56</v>
      </c>
    </row>
    <row r="39" ht="13.5" thickBot="1"/>
    <row r="40" spans="2:58" ht="15.75" customHeight="1">
      <c r="B40" s="117" t="s">
        <v>58</v>
      </c>
      <c r="C40" s="118"/>
      <c r="E40" s="119" t="s">
        <v>131</v>
      </c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76"/>
      <c r="BB40" s="120">
        <f ca="1">TODAY()</f>
        <v>39989</v>
      </c>
      <c r="BC40" s="120"/>
      <c r="BD40" s="120"/>
      <c r="BE40" s="120"/>
      <c r="BF40" s="120"/>
    </row>
    <row r="41" spans="2:58" ht="12.75" customHeight="1">
      <c r="B41" s="32" t="s">
        <v>53</v>
      </c>
      <c r="C41" s="33">
        <v>1</v>
      </c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76"/>
      <c r="BB41" s="120"/>
      <c r="BC41" s="120"/>
      <c r="BD41" s="120"/>
      <c r="BE41" s="120"/>
      <c r="BF41" s="120"/>
    </row>
    <row r="42" spans="2:58" ht="12.75" customHeight="1">
      <c r="B42" s="32" t="s">
        <v>54</v>
      </c>
      <c r="C42" s="33">
        <v>4</v>
      </c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76"/>
      <c r="BB42" s="120"/>
      <c r="BC42" s="120"/>
      <c r="BD42" s="120"/>
      <c r="BE42" s="120"/>
      <c r="BF42" s="120"/>
    </row>
    <row r="43" spans="2:58" ht="12.75" customHeight="1">
      <c r="B43" s="32" t="s">
        <v>55</v>
      </c>
      <c r="C43" s="33">
        <v>9</v>
      </c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76"/>
      <c r="BB43" s="120"/>
      <c r="BC43" s="120"/>
      <c r="BD43" s="120"/>
      <c r="BE43" s="120"/>
      <c r="BF43" s="120"/>
    </row>
    <row r="44" spans="2:58" ht="12.75" customHeight="1">
      <c r="B44" s="32" t="s">
        <v>56</v>
      </c>
      <c r="C44" s="33">
        <v>0</v>
      </c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76"/>
      <c r="BB44" s="120"/>
      <c r="BC44" s="120"/>
      <c r="BD44" s="120"/>
      <c r="BE44" s="120"/>
      <c r="BF44" s="120"/>
    </row>
    <row r="45" spans="2:58" ht="13.5" customHeight="1" thickBot="1">
      <c r="B45" s="34" t="s">
        <v>57</v>
      </c>
      <c r="C45" s="35" t="s">
        <v>52</v>
      </c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76"/>
      <c r="BB45" s="120"/>
      <c r="BC45" s="120"/>
      <c r="BD45" s="120"/>
      <c r="BE45" s="120"/>
      <c r="BF45" s="120"/>
    </row>
  </sheetData>
  <sheetProtection/>
  <mergeCells count="37">
    <mergeCell ref="BB40:BF45"/>
    <mergeCell ref="C37:D37"/>
    <mergeCell ref="AW37:BB37"/>
    <mergeCell ref="BC37:BD37"/>
    <mergeCell ref="BE37:BF37"/>
    <mergeCell ref="AG37:AH37"/>
    <mergeCell ref="AI37:AJ37"/>
    <mergeCell ref="AK37:AL37"/>
    <mergeCell ref="AO37:AQ37"/>
    <mergeCell ref="AR37:AV37"/>
    <mergeCell ref="Z37:AC37"/>
    <mergeCell ref="AE37:AF37"/>
    <mergeCell ref="B40:C40"/>
    <mergeCell ref="BE2:BF2"/>
    <mergeCell ref="AO2:AQ2"/>
    <mergeCell ref="AR2:AV2"/>
    <mergeCell ref="AW2:BB2"/>
    <mergeCell ref="BC2:BD2"/>
    <mergeCell ref="AM37:AN37"/>
    <mergeCell ref="E40:AZ45"/>
    <mergeCell ref="E37:H37"/>
    <mergeCell ref="I37:N37"/>
    <mergeCell ref="O37:Q37"/>
    <mergeCell ref="R37:Y37"/>
    <mergeCell ref="C1:AH1"/>
    <mergeCell ref="C2:D2"/>
    <mergeCell ref="E2:H2"/>
    <mergeCell ref="I2:N2"/>
    <mergeCell ref="O2:Q2"/>
    <mergeCell ref="R2:Y2"/>
    <mergeCell ref="Z2:AC2"/>
    <mergeCell ref="AE2:AF2"/>
    <mergeCell ref="AG2:AH2"/>
    <mergeCell ref="AI2:AJ2"/>
    <mergeCell ref="AK2:AL2"/>
    <mergeCell ref="AM2:AN2"/>
    <mergeCell ref="AI1:BF1"/>
  </mergeCells>
  <conditionalFormatting sqref="C4:BF31 C33:BF34">
    <cfRule type="cellIs" priority="1" dxfId="0" operator="equal" stopIfTrue="1">
      <formula>9</formula>
    </cfRule>
  </conditionalFormatting>
  <conditionalFormatting sqref="C36:BF36">
    <cfRule type="colorScale" priority="2" dxfId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errorStyle="warning" type="list" showInputMessage="1" showErrorMessage="1" errorTitle="Erreur de saisie" error="Seules les valeurs 1, 4, 9, 0, A sont valides" sqref="C4:BF31 C33:BF34">
      <formula1>$C$41:$C$45</formula1>
    </dataValidation>
  </dataValidations>
  <printOptions/>
  <pageMargins left="0.75" right="0.57" top="0.63" bottom="0.69" header="0.4921259845" footer="0.4921259845"/>
  <pageSetup fitToHeight="1" fitToWidth="1" horizontalDpi="600" verticalDpi="600" orientation="landscape" paperSize="9" scale="52" r:id="rId1"/>
  <ignoredErrors>
    <ignoredError sqref="C36 D36:N36 C33:BF33 C34:BF34 P36:BF3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showGridLines="0" zoomScalePageLayoutView="0" workbookViewId="0" topLeftCell="A1">
      <selection activeCell="C2" sqref="C2"/>
    </sheetView>
  </sheetViews>
  <sheetFormatPr defaultColWidth="11.421875" defaultRowHeight="12.75"/>
  <cols>
    <col min="3" max="3" width="81.28125" style="0" customWidth="1"/>
    <col min="4" max="4" width="16.57421875" style="0" customWidth="1"/>
    <col min="5" max="12" width="3.57421875" style="0" hidden="1" customWidth="1"/>
    <col min="13" max="13" width="10.421875" style="0" customWidth="1"/>
    <col min="14" max="14" width="10.8515625" style="41" customWidth="1"/>
    <col min="15" max="15" width="12.140625" style="0" customWidth="1"/>
  </cols>
  <sheetData>
    <row r="1" spans="1:15" ht="78" customHeight="1">
      <c r="A1" s="119" t="s">
        <v>131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59" t="s">
        <v>132</v>
      </c>
      <c r="O1" s="60">
        <f ca="1">TODAY()</f>
        <v>39989</v>
      </c>
    </row>
    <row r="2" spans="1:15" ht="27" customHeight="1" thickBot="1">
      <c r="A2" s="141" t="s">
        <v>100</v>
      </c>
      <c r="B2" s="142"/>
      <c r="C2" s="94" t="s">
        <v>142</v>
      </c>
      <c r="D2" s="134" t="str">
        <f>'Liste élèves'!D3</f>
        <v>NOM école I</v>
      </c>
      <c r="E2" s="135"/>
      <c r="F2" s="135"/>
      <c r="G2" s="135"/>
      <c r="H2" s="135"/>
      <c r="I2" s="135"/>
      <c r="J2" s="135"/>
      <c r="K2" s="135"/>
      <c r="L2" s="135"/>
      <c r="M2" s="135"/>
      <c r="N2" s="136" t="str">
        <f>'Liste élèves'!D4</f>
        <v>Nom classe</v>
      </c>
      <c r="O2" s="136"/>
    </row>
    <row r="3" spans="1:15" ht="21" customHeight="1" thickBot="1">
      <c r="A3" s="145"/>
      <c r="B3" s="145"/>
      <c r="C3" s="146"/>
      <c r="D3" s="102" t="s">
        <v>74</v>
      </c>
      <c r="E3" s="143" t="s">
        <v>101</v>
      </c>
      <c r="F3" s="144"/>
      <c r="G3" s="144"/>
      <c r="H3" s="144"/>
      <c r="I3" s="144"/>
      <c r="J3" s="144"/>
      <c r="K3" s="144"/>
      <c r="L3" s="144"/>
      <c r="M3" s="168" t="s">
        <v>99</v>
      </c>
      <c r="N3" s="169" t="s">
        <v>139</v>
      </c>
      <c r="O3" s="170" t="s">
        <v>140</v>
      </c>
    </row>
    <row r="4" spans="1:15" ht="21.75" customHeight="1">
      <c r="A4" s="126" t="s">
        <v>59</v>
      </c>
      <c r="B4" s="147"/>
      <c r="C4" s="150" t="s">
        <v>60</v>
      </c>
      <c r="D4" s="61" t="s">
        <v>75</v>
      </c>
      <c r="E4" s="55">
        <f>VLOOKUP(ELEVE,ZONERESULTATS,4,FALSE)</f>
        <v>1</v>
      </c>
      <c r="F4" s="42">
        <f>VLOOKUP(ELEVE,ZONERESULTATS,5,FALSE)</f>
        <v>0</v>
      </c>
      <c r="G4" s="42">
        <f>VLOOKUP(ELEVE,ZONERESULTATS,6,FALSE)</f>
        <v>0</v>
      </c>
      <c r="H4" s="42">
        <f>VLOOKUP(ELEVE,ZONERESULTATS,7,FALSE)</f>
        <v>0</v>
      </c>
      <c r="I4" s="38"/>
      <c r="J4" s="38"/>
      <c r="K4" s="38"/>
      <c r="L4" s="165"/>
      <c r="M4" s="72">
        <f>COUNTIF(E4:L4,1)/COUNT(E4:L4)</f>
        <v>0.25</v>
      </c>
      <c r="N4" s="123">
        <f>COUNTIF(E4:L5,1)/COUNT(E4:L5)</f>
        <v>0.3333333333333333</v>
      </c>
      <c r="O4" s="121">
        <f>COUNTIF(E4:L7,1)/COUNT(E4:L7)</f>
        <v>0.4444444444444444</v>
      </c>
    </row>
    <row r="5" spans="1:15" ht="21.75" customHeight="1" thickBot="1">
      <c r="A5" s="108"/>
      <c r="B5" s="148"/>
      <c r="C5" s="151"/>
      <c r="D5" s="62" t="s">
        <v>76</v>
      </c>
      <c r="E5" s="171">
        <f>VLOOKUP(ELEVE,ZONERESULTATS,36,FALSE)</f>
        <v>1</v>
      </c>
      <c r="F5" s="43">
        <f>VLOOKUP(ELEVE,ZONERESULTATS,37,FALSE)</f>
        <v>9</v>
      </c>
      <c r="G5" s="3"/>
      <c r="H5" s="3"/>
      <c r="I5" s="3"/>
      <c r="J5" s="3"/>
      <c r="K5" s="3"/>
      <c r="L5" s="3"/>
      <c r="M5" s="73">
        <f>COUNTIF(E5:L5,1)/COUNT(E5:L5)</f>
        <v>0.5</v>
      </c>
      <c r="N5" s="107"/>
      <c r="O5" s="122"/>
    </row>
    <row r="6" spans="1:15" ht="21.75" customHeight="1">
      <c r="A6" s="108"/>
      <c r="B6" s="148"/>
      <c r="C6" s="152" t="s">
        <v>77</v>
      </c>
      <c r="D6" s="63" t="s">
        <v>78</v>
      </c>
      <c r="E6" s="172">
        <f>VLOOKUP(ELEVE,ZONERESULTATS,8,FALSE)</f>
        <v>1</v>
      </c>
      <c r="F6" s="44">
        <f>VLOOKUP(ELEVE,ZONERESULTATS,9,FALSE)</f>
        <v>0</v>
      </c>
      <c r="G6" s="3"/>
      <c r="H6" s="3"/>
      <c r="I6" s="3"/>
      <c r="J6" s="3"/>
      <c r="K6" s="3"/>
      <c r="L6" s="3"/>
      <c r="M6" s="74">
        <f aca="true" t="shared" si="0" ref="M6:M27">COUNTIF(E6:L6,1)/COUNT(E6:L6)</f>
        <v>0.5</v>
      </c>
      <c r="N6" s="107">
        <f>COUNTIF(E6:L7,1)/COUNT(E6:L7)</f>
        <v>0.6666666666666666</v>
      </c>
      <c r="O6" s="122"/>
    </row>
    <row r="7" spans="1:15" ht="21.75" customHeight="1" thickBot="1">
      <c r="A7" s="128"/>
      <c r="B7" s="149"/>
      <c r="C7" s="153"/>
      <c r="D7" s="62">
        <v>37</v>
      </c>
      <c r="E7" s="58">
        <f>VLOOKUP(ELEVE,ZONERESULTATS,38,FALSE)</f>
        <v>1</v>
      </c>
      <c r="F7" s="40"/>
      <c r="G7" s="40"/>
      <c r="H7" s="40"/>
      <c r="I7" s="40"/>
      <c r="J7" s="40"/>
      <c r="K7" s="40"/>
      <c r="L7" s="166"/>
      <c r="M7" s="75">
        <f t="shared" si="0"/>
        <v>1</v>
      </c>
      <c r="N7" s="124"/>
      <c r="O7" s="125"/>
    </row>
    <row r="8" spans="1:15" ht="21.75" customHeight="1">
      <c r="A8" s="126" t="s">
        <v>79</v>
      </c>
      <c r="B8" s="147"/>
      <c r="C8" s="150" t="s">
        <v>61</v>
      </c>
      <c r="D8" s="61">
        <v>9</v>
      </c>
      <c r="E8" s="55">
        <f>VLOOKUP(ELEVE,ZONERESULTATS,10)</f>
        <v>0</v>
      </c>
      <c r="F8" s="38"/>
      <c r="G8" s="38"/>
      <c r="H8" s="38"/>
      <c r="I8" s="38"/>
      <c r="J8" s="38"/>
      <c r="K8" s="38"/>
      <c r="L8" s="167"/>
      <c r="M8" s="72">
        <f t="shared" si="0"/>
        <v>0</v>
      </c>
      <c r="N8" s="123">
        <f>COUNTIF(E8:L9,1)/COUNT(E8:L9)</f>
        <v>0.5</v>
      </c>
      <c r="O8" s="121">
        <f>COUNTIF(E8:L11,1)/COUNT(E8:L11)</f>
        <v>0.6</v>
      </c>
    </row>
    <row r="9" spans="1:15" ht="21.75" customHeight="1" thickBot="1">
      <c r="A9" s="108"/>
      <c r="B9" s="148"/>
      <c r="C9" s="151"/>
      <c r="D9" s="62">
        <v>38</v>
      </c>
      <c r="E9" s="171">
        <f>VLOOKUP(ELEVE,ZONERESULTATS,39,FALSE)</f>
        <v>1</v>
      </c>
      <c r="F9" s="3"/>
      <c r="G9" s="3"/>
      <c r="H9" s="3"/>
      <c r="I9" s="3"/>
      <c r="J9" s="3"/>
      <c r="K9" s="3"/>
      <c r="L9" s="3"/>
      <c r="M9" s="73">
        <f t="shared" si="0"/>
        <v>1</v>
      </c>
      <c r="N9" s="107"/>
      <c r="O9" s="122"/>
    </row>
    <row r="10" spans="1:15" ht="21.75" customHeight="1" thickBot="1">
      <c r="A10" s="108"/>
      <c r="B10" s="148"/>
      <c r="C10" s="36" t="s">
        <v>80</v>
      </c>
      <c r="D10" s="64" t="s">
        <v>81</v>
      </c>
      <c r="E10" s="172">
        <f>VLOOKUP(ELEVE,ZONERESULTATS,11,FALSE)</f>
        <v>1</v>
      </c>
      <c r="F10" s="44">
        <f>VLOOKUP(ELEVE,ZONERESULTATS,12,FALSE)</f>
        <v>0</v>
      </c>
      <c r="G10" s="3"/>
      <c r="H10" s="3"/>
      <c r="I10" s="3"/>
      <c r="J10" s="3"/>
      <c r="K10" s="3"/>
      <c r="L10" s="3"/>
      <c r="M10" s="74">
        <f t="shared" si="0"/>
        <v>0.5</v>
      </c>
      <c r="N10" s="71">
        <f>M10</f>
        <v>0.5</v>
      </c>
      <c r="O10" s="122"/>
    </row>
    <row r="11" spans="1:15" ht="21.75" customHeight="1" thickBot="1">
      <c r="A11" s="128"/>
      <c r="B11" s="149"/>
      <c r="C11" s="48" t="s">
        <v>62</v>
      </c>
      <c r="D11" s="64">
        <v>12</v>
      </c>
      <c r="E11" s="173">
        <f>VLOOKUP(ELEVE,ZONERESULTATS,13,FALSE)</f>
        <v>1</v>
      </c>
      <c r="F11" s="40"/>
      <c r="G11" s="40"/>
      <c r="H11" s="40"/>
      <c r="I11" s="40"/>
      <c r="J11" s="40"/>
      <c r="K11" s="40"/>
      <c r="L11" s="166"/>
      <c r="M11" s="100">
        <f t="shared" si="0"/>
        <v>1</v>
      </c>
      <c r="N11" s="70">
        <f>M11</f>
        <v>1</v>
      </c>
      <c r="O11" s="125"/>
    </row>
    <row r="12" spans="1:15" ht="21.75" customHeight="1">
      <c r="A12" s="126" t="s">
        <v>63</v>
      </c>
      <c r="B12" s="127"/>
      <c r="C12" s="130" t="s">
        <v>64</v>
      </c>
      <c r="D12" s="61" t="s">
        <v>82</v>
      </c>
      <c r="E12" s="55">
        <f>VLOOKUP(ELEVE,ZONERESULTATS,14,FALSE)</f>
        <v>0</v>
      </c>
      <c r="F12" s="42">
        <f>VLOOKUP(ELEVE,ZONERESULTATS,15,FALSE)</f>
        <v>1</v>
      </c>
      <c r="G12" s="42">
        <f>VLOOKUP(ELEVE,ZONERESULTATS,16,FALSE)</f>
        <v>1</v>
      </c>
      <c r="H12" s="38"/>
      <c r="I12" s="38"/>
      <c r="J12" s="38"/>
      <c r="K12" s="38"/>
      <c r="L12" s="167"/>
      <c r="M12" s="72">
        <f t="shared" si="0"/>
        <v>0.6666666666666666</v>
      </c>
      <c r="N12" s="123">
        <f>COUNTIF(E12:L13,1)/COUNT(E12:L13)</f>
        <v>0.3333333333333333</v>
      </c>
      <c r="O12" s="121">
        <f>COUNTIF(E12:L15,1)/COUNT(E12:L15)</f>
        <v>0.5333333333333333</v>
      </c>
    </row>
    <row r="13" spans="1:15" ht="21.75" customHeight="1" thickBot="1">
      <c r="A13" s="108"/>
      <c r="B13" s="109"/>
      <c r="C13" s="104"/>
      <c r="D13" s="62" t="s">
        <v>83</v>
      </c>
      <c r="E13" s="171">
        <f>VLOOKUP(ELEVE,ZONERESULTATS,40,FALSE)</f>
        <v>0</v>
      </c>
      <c r="F13" s="43">
        <f>VLOOKUP(ELEVE,ZONERESULTATS,41,FALSE)</f>
        <v>9</v>
      </c>
      <c r="G13" s="43">
        <f>VLOOKUP(ELEVE,ZONERESULTATS,42,FALSE)</f>
        <v>0</v>
      </c>
      <c r="H13" s="3"/>
      <c r="I13" s="3"/>
      <c r="J13" s="3"/>
      <c r="K13" s="3"/>
      <c r="L13" s="3"/>
      <c r="M13" s="73">
        <f t="shared" si="0"/>
        <v>0</v>
      </c>
      <c r="N13" s="107"/>
      <c r="O13" s="122"/>
    </row>
    <row r="14" spans="1:15" ht="21.75" customHeight="1">
      <c r="A14" s="108"/>
      <c r="B14" s="109"/>
      <c r="C14" s="105" t="s">
        <v>133</v>
      </c>
      <c r="D14" s="63" t="s">
        <v>84</v>
      </c>
      <c r="E14" s="172">
        <f>VLOOKUP(ELEVE,ZONERESULTATS,17,FALSE)</f>
        <v>1</v>
      </c>
      <c r="F14" s="44">
        <f>VLOOKUP(ELEVE,ZONERESULTATS,18,FALSE)</f>
        <v>1</v>
      </c>
      <c r="G14" s="44">
        <f>VLOOKUP(ELEVE,ZONERESULTATS,19,FALSE)</f>
        <v>9</v>
      </c>
      <c r="H14" s="44">
        <f>VLOOKUP(ELEVE,ZONERESULTATS,20,FALSE)</f>
        <v>0</v>
      </c>
      <c r="I14" s="44">
        <f>VLOOKUP(ELEVE,ZONERESULTATS,21,FALSE)</f>
        <v>9</v>
      </c>
      <c r="J14" s="44">
        <f>VLOOKUP(ELEVE,ZONERESULTATS,22,FALSE)</f>
        <v>1</v>
      </c>
      <c r="K14" s="44">
        <f>VLOOKUP(ELEVE,ZONERESULTATS,23,FALSE)</f>
        <v>1</v>
      </c>
      <c r="L14" s="44">
        <f>VLOOKUP(ELEVE,ZONERESULTATS,24,FALSE)</f>
        <v>1</v>
      </c>
      <c r="M14" s="74">
        <f t="shared" si="0"/>
        <v>0.625</v>
      </c>
      <c r="N14" s="107">
        <f>COUNTIF(E14:L15,1)/COUNT(E14:L15)</f>
        <v>0.6666666666666666</v>
      </c>
      <c r="O14" s="122"/>
    </row>
    <row r="15" spans="1:15" ht="21.75" customHeight="1" thickBot="1">
      <c r="A15" s="128"/>
      <c r="B15" s="129"/>
      <c r="C15" s="106"/>
      <c r="D15" s="62" t="s">
        <v>85</v>
      </c>
      <c r="E15" s="58">
        <f>VLOOKUP(ELEVE,ZONERESULTATS,43,FALSE)</f>
        <v>1</v>
      </c>
      <c r="F15" s="45" t="str">
        <f>VLOOKUP(ELEVE,ZONERESULTATS,44,FALSE)</f>
        <v>A</v>
      </c>
      <c r="G15" s="45" t="str">
        <f>VLOOKUP(ELEVE,ZONERESULTATS,45,FALSE)</f>
        <v>A</v>
      </c>
      <c r="H15" s="45" t="str">
        <f>VLOOKUP(ELEVE,ZONERESULTATS,46,FALSE)</f>
        <v>A</v>
      </c>
      <c r="I15" s="45" t="str">
        <f>VLOOKUP(ELEVE,ZONERESULTATS,47,FALSE)</f>
        <v>A</v>
      </c>
      <c r="J15" s="40"/>
      <c r="K15" s="40"/>
      <c r="L15" s="166"/>
      <c r="M15" s="75">
        <f t="shared" si="0"/>
        <v>1</v>
      </c>
      <c r="N15" s="124"/>
      <c r="O15" s="125"/>
    </row>
    <row r="16" spans="1:15" ht="21.75" customHeight="1" thickBot="1">
      <c r="A16" s="132" t="s">
        <v>86</v>
      </c>
      <c r="B16" s="154" t="s">
        <v>65</v>
      </c>
      <c r="C16" s="47" t="s">
        <v>87</v>
      </c>
      <c r="D16" s="65" t="s">
        <v>88</v>
      </c>
      <c r="E16" s="55" t="str">
        <f>VLOOKUP(ELEVE,ZONERESULTATS,25,FALSE)</f>
        <v>A</v>
      </c>
      <c r="F16" s="42" t="str">
        <f>VLOOKUP(ELEVE,ZONERESULTATS,26,FALSE)</f>
        <v>A</v>
      </c>
      <c r="G16" s="42" t="str">
        <f>VLOOKUP(ELEVE,ZONERESULTATS,27,FALSE)</f>
        <v>A</v>
      </c>
      <c r="H16" s="42" t="str">
        <f>VLOOKUP(ELEVE,ZONERESULTATS,28,FALSE)</f>
        <v>A</v>
      </c>
      <c r="I16" s="42"/>
      <c r="J16" s="38"/>
      <c r="K16" s="38"/>
      <c r="L16" s="167"/>
      <c r="M16" s="72" t="e">
        <f t="shared" si="0"/>
        <v>#DIV/0!</v>
      </c>
      <c r="N16" s="123">
        <f>COUNTIF(E16:L18,1)/COUNT(E16:L18)</f>
        <v>0.5</v>
      </c>
      <c r="O16" s="121">
        <f>COUNTIF(E16:L18,1)/COUNT(E16:L18)</f>
        <v>0.5</v>
      </c>
    </row>
    <row r="17" spans="1:15" ht="21.75" customHeight="1" thickBot="1">
      <c r="A17" s="133"/>
      <c r="B17" s="155"/>
      <c r="C17" s="36" t="s">
        <v>66</v>
      </c>
      <c r="D17" s="66" t="s">
        <v>89</v>
      </c>
      <c r="E17" s="171">
        <f>VLOOKUP(ELEVE,ZONERESULTATS,48,FALSE)</f>
        <v>1</v>
      </c>
      <c r="F17" s="43">
        <f>VLOOKUP(ELEVE,ZONERESULTATS,49,FALSE)</f>
        <v>9</v>
      </c>
      <c r="G17" s="43">
        <f>VLOOKUP(ELEVE,ZONERESULTATS,50,FALSE)</f>
        <v>0</v>
      </c>
      <c r="H17" s="43">
        <f>VLOOKUP(ELEVE,ZONERESULTATS,51,FALSE)</f>
        <v>0</v>
      </c>
      <c r="I17" s="3"/>
      <c r="J17" s="3"/>
      <c r="K17" s="3"/>
      <c r="L17" s="3"/>
      <c r="M17" s="73">
        <f t="shared" si="0"/>
        <v>0.25</v>
      </c>
      <c r="N17" s="107"/>
      <c r="O17" s="122"/>
    </row>
    <row r="18" spans="1:15" ht="21.75" customHeight="1" thickBot="1">
      <c r="A18" s="133"/>
      <c r="B18" s="155"/>
      <c r="C18" s="54" t="s">
        <v>90</v>
      </c>
      <c r="D18" s="67" t="s">
        <v>91</v>
      </c>
      <c r="E18" s="174">
        <f>VLOOKUP(ELEVE,ZONERESULTATS,52,FALSE)</f>
        <v>1</v>
      </c>
      <c r="F18" s="175">
        <f>VLOOKUP(ELEVE,ZONERESULTATS,53,FALSE)</f>
        <v>1</v>
      </c>
      <c r="G18" s="176"/>
      <c r="H18" s="176"/>
      <c r="I18" s="177"/>
      <c r="J18" s="177"/>
      <c r="K18" s="177"/>
      <c r="L18" s="177"/>
      <c r="M18" s="75">
        <f t="shared" si="0"/>
        <v>1</v>
      </c>
      <c r="N18" s="124"/>
      <c r="O18" s="125"/>
    </row>
    <row r="19" spans="1:15" ht="21.75" customHeight="1" thickBot="1">
      <c r="A19" s="132" t="s">
        <v>67</v>
      </c>
      <c r="B19" s="154" t="s">
        <v>68</v>
      </c>
      <c r="C19" s="53" t="s">
        <v>92</v>
      </c>
      <c r="D19" s="68">
        <v>28</v>
      </c>
      <c r="E19" s="55">
        <f>VLOOKUP(ELEVE,ZONERESULTATS,29,FALSE)</f>
        <v>1</v>
      </c>
      <c r="F19" s="42"/>
      <c r="G19" s="38"/>
      <c r="H19" s="38"/>
      <c r="I19" s="38"/>
      <c r="J19" s="38"/>
      <c r="K19" s="38"/>
      <c r="L19" s="167"/>
      <c r="M19" s="72">
        <f t="shared" si="0"/>
        <v>1</v>
      </c>
      <c r="N19" s="123">
        <f>COUNTIF(E19:L23,1)/COUNT(E19:L23)</f>
        <v>0.625</v>
      </c>
      <c r="O19" s="121">
        <f>COUNTIF(E19:L25,1)/COUNT(E19:L25)</f>
        <v>0.6</v>
      </c>
    </row>
    <row r="20" spans="1:15" ht="21.75" customHeight="1">
      <c r="A20" s="133"/>
      <c r="B20" s="155"/>
      <c r="C20" s="139" t="s">
        <v>69</v>
      </c>
      <c r="D20" s="63" t="s">
        <v>93</v>
      </c>
      <c r="E20" s="56">
        <f>VLOOKUP(ELEVE,ZONERESULTATS,30,FALSE)</f>
        <v>1</v>
      </c>
      <c r="F20" s="44">
        <f>VLOOKUP(ELEVE,ZONERESULTATS,31,FALSE)</f>
        <v>4</v>
      </c>
      <c r="G20" s="3"/>
      <c r="H20" s="3"/>
      <c r="I20" s="3"/>
      <c r="J20" s="3"/>
      <c r="K20" s="3"/>
      <c r="L20" s="3"/>
      <c r="M20" s="74">
        <f t="shared" si="0"/>
        <v>0.5</v>
      </c>
      <c r="N20" s="107"/>
      <c r="O20" s="122"/>
    </row>
    <row r="21" spans="1:15" ht="21.75" customHeight="1" thickBot="1">
      <c r="A21" s="133"/>
      <c r="B21" s="155"/>
      <c r="C21" s="104"/>
      <c r="D21" s="66" t="s">
        <v>94</v>
      </c>
      <c r="E21" s="57">
        <f>VLOOKUP(ELEVE,ZONERESULTATS,54,FALSE)</f>
        <v>1</v>
      </c>
      <c r="F21" s="43">
        <f>VLOOKUP(ELEVE,ZONERESULTATS,55,FALSE)</f>
        <v>1</v>
      </c>
      <c r="G21" s="3"/>
      <c r="H21" s="3"/>
      <c r="I21" s="3"/>
      <c r="J21" s="3"/>
      <c r="K21" s="3"/>
      <c r="L21" s="3"/>
      <c r="M21" s="73">
        <f t="shared" si="0"/>
        <v>1</v>
      </c>
      <c r="N21" s="107"/>
      <c r="O21" s="122"/>
    </row>
    <row r="22" spans="1:15" ht="21.75" customHeight="1" thickBot="1">
      <c r="A22" s="133"/>
      <c r="B22" s="155"/>
      <c r="C22" s="36" t="s">
        <v>95</v>
      </c>
      <c r="D22" s="69">
        <v>31</v>
      </c>
      <c r="E22" s="56">
        <f>VLOOKUP(ELEVE,ZONERESULTATS,32,FALSE)</f>
        <v>1</v>
      </c>
      <c r="F22" s="3"/>
      <c r="G22" s="3"/>
      <c r="H22" s="3"/>
      <c r="I22" s="3"/>
      <c r="J22" s="3"/>
      <c r="K22" s="3"/>
      <c r="L22" s="3"/>
      <c r="M22" s="74">
        <f t="shared" si="0"/>
        <v>1</v>
      </c>
      <c r="N22" s="107"/>
      <c r="O22" s="122"/>
    </row>
    <row r="23" spans="1:15" ht="21.75" customHeight="1" thickBot="1">
      <c r="A23" s="133"/>
      <c r="B23" s="156"/>
      <c r="C23" s="36" t="s">
        <v>70</v>
      </c>
      <c r="D23" s="66" t="s">
        <v>96</v>
      </c>
      <c r="E23" s="57">
        <f>VLOOKUP(ELEVE,ZONERESULTATS,56,FALSE)</f>
        <v>9</v>
      </c>
      <c r="F23" s="43">
        <f>VLOOKUP(ELEVE,ZONERESULTATS,57,FALSE)</f>
        <v>0</v>
      </c>
      <c r="G23" s="3"/>
      <c r="H23" s="3"/>
      <c r="I23" s="3"/>
      <c r="J23" s="3"/>
      <c r="K23" s="3"/>
      <c r="L23" s="3"/>
      <c r="M23" s="73">
        <f t="shared" si="0"/>
        <v>0</v>
      </c>
      <c r="N23" s="107"/>
      <c r="O23" s="122"/>
    </row>
    <row r="24" spans="1:15" ht="21.75" customHeight="1">
      <c r="A24" s="133"/>
      <c r="B24" s="137" t="s">
        <v>97</v>
      </c>
      <c r="C24" s="139" t="s">
        <v>71</v>
      </c>
      <c r="D24" s="63">
        <v>1</v>
      </c>
      <c r="E24" s="56">
        <f>VLOOKUP(ELEVE,ZONERESULTATS,2,FALSE)</f>
        <v>0</v>
      </c>
      <c r="F24" s="3"/>
      <c r="G24" s="3"/>
      <c r="H24" s="3"/>
      <c r="I24" s="3"/>
      <c r="J24" s="3"/>
      <c r="K24" s="3"/>
      <c r="L24" s="3"/>
      <c r="M24" s="74">
        <f t="shared" si="0"/>
        <v>0</v>
      </c>
      <c r="N24" s="107">
        <f>COUNTIF(E24:L25,1)/COUNT(E24:L25)</f>
        <v>0.5</v>
      </c>
      <c r="O24" s="122"/>
    </row>
    <row r="25" spans="1:15" ht="21.75" customHeight="1" thickBot="1">
      <c r="A25" s="133"/>
      <c r="B25" s="138"/>
      <c r="C25" s="140"/>
      <c r="D25" s="67">
        <v>33</v>
      </c>
      <c r="E25" s="58">
        <f>VLOOKUP(ELEVE,ZONERESULTATS,34,FALSE)</f>
        <v>1</v>
      </c>
      <c r="F25" s="177"/>
      <c r="G25" s="177"/>
      <c r="H25" s="177"/>
      <c r="I25" s="177"/>
      <c r="J25" s="177"/>
      <c r="K25" s="177"/>
      <c r="L25" s="177"/>
      <c r="M25" s="75">
        <f t="shared" si="0"/>
        <v>1</v>
      </c>
      <c r="N25" s="124"/>
      <c r="O25" s="125"/>
    </row>
    <row r="26" spans="1:15" ht="21.75" customHeight="1">
      <c r="A26" s="126" t="s">
        <v>72</v>
      </c>
      <c r="B26" s="127"/>
      <c r="C26" s="130" t="s">
        <v>73</v>
      </c>
      <c r="D26" s="61" t="s">
        <v>98</v>
      </c>
      <c r="E26" s="55">
        <f>VLOOKUP(ELEVE,ZONERESULTATS,3,FALSE)</f>
        <v>0</v>
      </c>
      <c r="F26" s="42">
        <f>VLOOKUP(ELEVE,ZONERESULTATS,33,FALSE)</f>
        <v>9</v>
      </c>
      <c r="G26" s="38"/>
      <c r="H26" s="38"/>
      <c r="I26" s="38"/>
      <c r="J26" s="38"/>
      <c r="K26" s="38"/>
      <c r="L26" s="167"/>
      <c r="M26" s="72">
        <f t="shared" si="0"/>
        <v>0</v>
      </c>
      <c r="N26" s="123">
        <f>COUNTIF(E26:L27,1)/COUNT(E26:L27)</f>
        <v>0.3333333333333333</v>
      </c>
      <c r="O26" s="121">
        <f>N26</f>
        <v>0.3333333333333333</v>
      </c>
    </row>
    <row r="27" spans="1:15" ht="21.75" customHeight="1" thickBot="1">
      <c r="A27" s="128"/>
      <c r="B27" s="129"/>
      <c r="C27" s="131"/>
      <c r="D27" s="62">
        <v>34</v>
      </c>
      <c r="E27" s="58">
        <f>VLOOKUP(ELEVE,ZONERESULTATS,35,FALSE)</f>
        <v>1</v>
      </c>
      <c r="F27" s="40"/>
      <c r="G27" s="40"/>
      <c r="H27" s="40"/>
      <c r="I27" s="40"/>
      <c r="J27" s="40"/>
      <c r="K27" s="40"/>
      <c r="L27" s="166"/>
      <c r="M27" s="75">
        <f t="shared" si="0"/>
        <v>1</v>
      </c>
      <c r="N27" s="124"/>
      <c r="O27" s="125"/>
    </row>
  </sheetData>
  <sheetProtection/>
  <mergeCells count="38">
    <mergeCell ref="A1:M1"/>
    <mergeCell ref="N16:N18"/>
    <mergeCell ref="O16:O18"/>
    <mergeCell ref="N19:N23"/>
    <mergeCell ref="A8:B11"/>
    <mergeCell ref="C8:C9"/>
    <mergeCell ref="B16:B18"/>
    <mergeCell ref="A19:A25"/>
    <mergeCell ref="B19:B23"/>
    <mergeCell ref="C20:C21"/>
    <mergeCell ref="A2:B2"/>
    <mergeCell ref="E3:L3"/>
    <mergeCell ref="N4:N5"/>
    <mergeCell ref="N6:N7"/>
    <mergeCell ref="A3:C3"/>
    <mergeCell ref="A4:B7"/>
    <mergeCell ref="C4:C5"/>
    <mergeCell ref="C6:C7"/>
    <mergeCell ref="A16:A18"/>
    <mergeCell ref="N14:N15"/>
    <mergeCell ref="N24:N25"/>
    <mergeCell ref="D2:M2"/>
    <mergeCell ref="N2:O2"/>
    <mergeCell ref="O12:O15"/>
    <mergeCell ref="O4:O7"/>
    <mergeCell ref="O8:O11"/>
    <mergeCell ref="N12:N13"/>
    <mergeCell ref="B24:B25"/>
    <mergeCell ref="N8:N9"/>
    <mergeCell ref="A12:B15"/>
    <mergeCell ref="C12:C13"/>
    <mergeCell ref="C14:C15"/>
    <mergeCell ref="O19:O25"/>
    <mergeCell ref="N26:N27"/>
    <mergeCell ref="O26:O27"/>
    <mergeCell ref="A26:B27"/>
    <mergeCell ref="C26:C27"/>
    <mergeCell ref="C24:C25"/>
  </mergeCells>
  <conditionalFormatting sqref="M4:O27">
    <cfRule type="cellIs" priority="1" dxfId="2" operator="lessThan" stopIfTrue="1">
      <formula>0.5</formula>
    </cfRule>
    <cfRule type="cellIs" priority="2" dxfId="3" operator="between" stopIfTrue="1">
      <formula>0.5</formula>
      <formula>0.7</formula>
    </cfRule>
    <cfRule type="cellIs" priority="3" dxfId="4" operator="greaterThan" stopIfTrue="1">
      <formula>0.7</formula>
    </cfRule>
  </conditionalFormatting>
  <conditionalFormatting sqref="M4:O27">
    <cfRule type="colorScale" priority="1" dxfId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C2">
      <formula1>'Saisie résultats'!$B$4:$B$31</formula1>
    </dataValidation>
  </dataValidations>
  <printOptions horizontalCentered="1" verticalCentered="1"/>
  <pageMargins left="0.7874015748031497" right="0.7874015748031497" top="0.5905511811023623" bottom="0.71" header="0.5118110236220472" footer="0.5118110236220472"/>
  <pageSetup fitToHeight="1" fitToWidth="1" horizontalDpi="600" verticalDpi="600" orientation="landscape" paperSize="9" scale="7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showGridLines="0" zoomScalePageLayoutView="0" workbookViewId="0" topLeftCell="A1">
      <selection activeCell="C2" sqref="C2"/>
    </sheetView>
  </sheetViews>
  <sheetFormatPr defaultColWidth="11.421875" defaultRowHeight="12.75"/>
  <cols>
    <col min="3" max="3" width="81.28125" style="0" customWidth="1"/>
    <col min="4" max="4" width="16.8515625" style="0" customWidth="1"/>
    <col min="5" max="12" width="5.00390625" style="0" hidden="1" customWidth="1"/>
    <col min="13" max="13" width="7.57421875" style="0" hidden="1" customWidth="1"/>
    <col min="14" max="14" width="13.28125" style="0" customWidth="1"/>
    <col min="15" max="15" width="10.8515625" style="41" customWidth="1"/>
    <col min="16" max="16" width="12.140625" style="0" customWidth="1"/>
  </cols>
  <sheetData>
    <row r="1" spans="1:16" ht="78" customHeight="1">
      <c r="A1" s="119" t="s">
        <v>131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59" t="s">
        <v>132</v>
      </c>
      <c r="P1" s="60">
        <f ca="1">TODAY()</f>
        <v>39989</v>
      </c>
    </row>
    <row r="2" spans="1:3" ht="27" customHeight="1" thickBot="1">
      <c r="A2" s="141"/>
      <c r="B2" s="142"/>
      <c r="C2" s="95" t="str">
        <f>CONCATENATE("Synthèse classe",'Liste élèves'!D4," ",'Liste élèves'!D3)</f>
        <v>Synthèse classeNom classe NOM école I</v>
      </c>
    </row>
    <row r="3" spans="1:16" ht="23.25" customHeight="1" thickBot="1">
      <c r="A3" s="145"/>
      <c r="B3" s="145"/>
      <c r="C3" s="146"/>
      <c r="D3" s="102" t="s">
        <v>74</v>
      </c>
      <c r="E3" s="157" t="s">
        <v>137</v>
      </c>
      <c r="F3" s="158"/>
      <c r="G3" s="158"/>
      <c r="H3" s="158"/>
      <c r="I3" s="158"/>
      <c r="J3" s="158"/>
      <c r="K3" s="158"/>
      <c r="L3" s="158"/>
      <c r="M3" s="103" t="s">
        <v>138</v>
      </c>
      <c r="N3" s="168" t="s">
        <v>99</v>
      </c>
      <c r="O3" s="169" t="s">
        <v>139</v>
      </c>
      <c r="P3" s="170" t="s">
        <v>140</v>
      </c>
    </row>
    <row r="4" spans="1:16" ht="21.75" customHeight="1">
      <c r="A4" s="126" t="s">
        <v>59</v>
      </c>
      <c r="B4" s="147"/>
      <c r="C4" s="150" t="s">
        <v>60</v>
      </c>
      <c r="D4" s="92" t="s">
        <v>75</v>
      </c>
      <c r="E4" s="55">
        <f>'Saisie résultats'!E33</f>
        <v>2</v>
      </c>
      <c r="F4" s="42">
        <f>'Saisie résultats'!F33</f>
        <v>1</v>
      </c>
      <c r="G4" s="42">
        <f>'Saisie résultats'!G33</f>
        <v>1</v>
      </c>
      <c r="H4" s="42">
        <f>'Saisie résultats'!H33</f>
        <v>0</v>
      </c>
      <c r="I4" s="38"/>
      <c r="J4" s="38"/>
      <c r="K4" s="38"/>
      <c r="L4" s="39"/>
      <c r="M4" s="167">
        <f>SUM('Saisie résultats'!F34:H34)</f>
        <v>6</v>
      </c>
      <c r="N4" s="72">
        <f>SUM(E4:L4)/M4</f>
        <v>0.6666666666666666</v>
      </c>
      <c r="O4" s="123">
        <f>SUM(E4:L5)/SUM(M4:M5)</f>
        <v>0.625</v>
      </c>
      <c r="P4" s="121">
        <f>SUM(E4:L7)/SUM(M4:M7)</f>
        <v>0.6923076923076923</v>
      </c>
    </row>
    <row r="5" spans="1:16" ht="21.75" customHeight="1" thickBot="1">
      <c r="A5" s="108"/>
      <c r="B5" s="148"/>
      <c r="C5" s="151"/>
      <c r="D5" s="93" t="s">
        <v>76</v>
      </c>
      <c r="E5" s="58">
        <f>'Saisie résultats'!AK33</f>
        <v>1</v>
      </c>
      <c r="F5" s="45">
        <f>'Saisie résultats'!AL33</f>
        <v>0</v>
      </c>
      <c r="G5" s="40"/>
      <c r="H5" s="40"/>
      <c r="I5" s="40"/>
      <c r="J5" s="40"/>
      <c r="K5" s="40"/>
      <c r="L5" s="40"/>
      <c r="M5" s="166">
        <f>SUM('Saisie résultats'!AK34:AL34)</f>
        <v>2</v>
      </c>
      <c r="N5" s="74">
        <f>SUM(E5:L5)/M5</f>
        <v>0.5</v>
      </c>
      <c r="O5" s="107"/>
      <c r="P5" s="122"/>
    </row>
    <row r="6" spans="1:16" ht="21.75" customHeight="1">
      <c r="A6" s="108"/>
      <c r="B6" s="148"/>
      <c r="C6" s="152" t="s">
        <v>77</v>
      </c>
      <c r="D6" s="63" t="s">
        <v>78</v>
      </c>
      <c r="E6" s="56">
        <f>'Saisie résultats'!I33</f>
        <v>2</v>
      </c>
      <c r="F6" s="44">
        <f>'Saisie résultats'!J33</f>
        <v>1</v>
      </c>
      <c r="G6" s="3"/>
      <c r="H6" s="3"/>
      <c r="I6" s="3"/>
      <c r="J6" s="3"/>
      <c r="K6" s="3"/>
      <c r="L6" s="3"/>
      <c r="M6" s="3">
        <f>SUM('Saisie résultats'!I34:J34)</f>
        <v>4</v>
      </c>
      <c r="N6" s="74">
        <f>SUM(E6:L6)/M6</f>
        <v>0.75</v>
      </c>
      <c r="O6" s="107">
        <f>SUM(E6:L7)/SUM(M6:M7)</f>
        <v>0.8</v>
      </c>
      <c r="P6" s="122"/>
    </row>
    <row r="7" spans="1:16" ht="21.75" customHeight="1" thickBot="1">
      <c r="A7" s="128"/>
      <c r="B7" s="149"/>
      <c r="C7" s="153"/>
      <c r="D7" s="62">
        <v>37</v>
      </c>
      <c r="E7" s="58">
        <f>'Saisie résultats'!AM33</f>
        <v>1</v>
      </c>
      <c r="F7" s="40"/>
      <c r="G7" s="40"/>
      <c r="H7" s="40"/>
      <c r="I7" s="40"/>
      <c r="J7" s="40"/>
      <c r="K7" s="40"/>
      <c r="L7" s="40"/>
      <c r="M7" s="166">
        <f>'Saisie résultats'!AM34</f>
        <v>1</v>
      </c>
      <c r="N7" s="100">
        <f>SUM(E7:L7)/M7</f>
        <v>1</v>
      </c>
      <c r="O7" s="124"/>
      <c r="P7" s="125"/>
    </row>
    <row r="8" spans="1:16" ht="21.75" customHeight="1">
      <c r="A8" s="126" t="s">
        <v>79</v>
      </c>
      <c r="B8" s="147"/>
      <c r="C8" s="150" t="s">
        <v>61</v>
      </c>
      <c r="D8" s="61">
        <v>9</v>
      </c>
      <c r="E8" s="42">
        <f>'Saisie résultats'!K33</f>
        <v>0</v>
      </c>
      <c r="F8" s="38"/>
      <c r="G8" s="38"/>
      <c r="H8" s="38"/>
      <c r="I8" s="38"/>
      <c r="J8" s="38"/>
      <c r="K8" s="38"/>
      <c r="L8" s="38"/>
      <c r="M8" s="167">
        <f>'Saisie résultats'!K34</f>
        <v>1</v>
      </c>
      <c r="N8" s="72">
        <f>SUM(E8:L8)/M8</f>
        <v>0</v>
      </c>
      <c r="O8" s="123">
        <f>SUM(E8:L9)/SUM(M8:M9)</f>
        <v>0.5</v>
      </c>
      <c r="P8" s="121">
        <f>SUM(E8:L11)/SUM(M8:M11)</f>
        <v>0.6</v>
      </c>
    </row>
    <row r="9" spans="1:16" ht="21.75" customHeight="1" thickBot="1">
      <c r="A9" s="108"/>
      <c r="B9" s="148"/>
      <c r="C9" s="151"/>
      <c r="D9" s="62">
        <v>38</v>
      </c>
      <c r="E9" s="43">
        <f>'Saisie résultats'!AN33</f>
        <v>1</v>
      </c>
      <c r="F9" s="3"/>
      <c r="G9" s="3"/>
      <c r="H9" s="3"/>
      <c r="I9" s="3"/>
      <c r="J9" s="3"/>
      <c r="K9" s="3"/>
      <c r="L9" s="3"/>
      <c r="M9" s="3">
        <f>'Saisie résultats'!AN34</f>
        <v>1</v>
      </c>
      <c r="N9" s="74">
        <f aca="true" t="shared" si="0" ref="N9:N27">SUM(E9:L9)/M9</f>
        <v>1</v>
      </c>
      <c r="O9" s="107"/>
      <c r="P9" s="122"/>
    </row>
    <row r="10" spans="1:16" ht="21.75" customHeight="1" thickBot="1">
      <c r="A10" s="108"/>
      <c r="B10" s="148"/>
      <c r="C10" s="36" t="s">
        <v>80</v>
      </c>
      <c r="D10" s="64" t="s">
        <v>81</v>
      </c>
      <c r="E10" s="44">
        <f>'Saisie résultats'!L33</f>
        <v>1</v>
      </c>
      <c r="F10" s="44">
        <f>'Saisie résultats'!M33</f>
        <v>0</v>
      </c>
      <c r="G10" s="3"/>
      <c r="H10" s="3"/>
      <c r="I10" s="3"/>
      <c r="J10" s="3"/>
      <c r="K10" s="3"/>
      <c r="L10" s="3"/>
      <c r="M10" s="3">
        <f>SUM('Saisie résultats'!L34:M34)</f>
        <v>2</v>
      </c>
      <c r="N10" s="74">
        <f t="shared" si="0"/>
        <v>0.5</v>
      </c>
      <c r="O10" s="71">
        <f>N10</f>
        <v>0.5</v>
      </c>
      <c r="P10" s="122"/>
    </row>
    <row r="11" spans="1:16" ht="21.75" customHeight="1" thickBot="1">
      <c r="A11" s="128"/>
      <c r="B11" s="149"/>
      <c r="C11" s="48" t="s">
        <v>62</v>
      </c>
      <c r="D11" s="64">
        <v>12</v>
      </c>
      <c r="E11" s="46">
        <f>'Saisie résultats'!N33</f>
        <v>1</v>
      </c>
      <c r="F11" s="40"/>
      <c r="G11" s="40"/>
      <c r="H11" s="40"/>
      <c r="I11" s="40"/>
      <c r="J11" s="40"/>
      <c r="K11" s="40"/>
      <c r="L11" s="40"/>
      <c r="M11" s="166">
        <f>'Saisie résultats'!N34</f>
        <v>1</v>
      </c>
      <c r="N11" s="100">
        <f t="shared" si="0"/>
        <v>1</v>
      </c>
      <c r="O11" s="70">
        <f>N11</f>
        <v>1</v>
      </c>
      <c r="P11" s="125"/>
    </row>
    <row r="12" spans="1:16" ht="21.75" customHeight="1">
      <c r="A12" s="126" t="s">
        <v>63</v>
      </c>
      <c r="B12" s="127"/>
      <c r="C12" s="130" t="s">
        <v>64</v>
      </c>
      <c r="D12" s="61" t="s">
        <v>82</v>
      </c>
      <c r="E12" s="42">
        <f>'Saisie résultats'!O33</f>
        <v>0</v>
      </c>
      <c r="F12" s="42">
        <f>'Saisie résultats'!P33</f>
        <v>1</v>
      </c>
      <c r="G12" s="42">
        <f>'Saisie résultats'!Q33</f>
        <v>1</v>
      </c>
      <c r="H12" s="38"/>
      <c r="I12" s="38"/>
      <c r="J12" s="38"/>
      <c r="K12" s="38"/>
      <c r="L12" s="38"/>
      <c r="M12" s="167">
        <f>SUM('Saisie résultats'!O34:Q34)</f>
        <v>3</v>
      </c>
      <c r="N12" s="72">
        <f t="shared" si="0"/>
        <v>0.6666666666666666</v>
      </c>
      <c r="O12" s="123">
        <f>SUM(E12:L13)/SUM(M12:M13)</f>
        <v>0.3333333333333333</v>
      </c>
      <c r="P12" s="121">
        <f>SUM(E12:L15)/SUM(M12:M15)</f>
        <v>0.4</v>
      </c>
    </row>
    <row r="13" spans="1:16" ht="21.75" customHeight="1" thickBot="1">
      <c r="A13" s="108"/>
      <c r="B13" s="109"/>
      <c r="C13" s="104"/>
      <c r="D13" s="62" t="s">
        <v>83</v>
      </c>
      <c r="E13" s="43">
        <f>'Saisie résultats'!AO33</f>
        <v>0</v>
      </c>
      <c r="F13" s="43">
        <f>'Saisie résultats'!AP33</f>
        <v>0</v>
      </c>
      <c r="G13" s="43">
        <f>'Saisie résultats'!AQ33</f>
        <v>0</v>
      </c>
      <c r="H13" s="3"/>
      <c r="I13" s="3"/>
      <c r="J13" s="3"/>
      <c r="K13" s="3"/>
      <c r="L13" s="3"/>
      <c r="M13" s="3">
        <f>SUM('Saisie résultats'!AO34:AQ34)</f>
        <v>3</v>
      </c>
      <c r="N13" s="74">
        <f t="shared" si="0"/>
        <v>0</v>
      </c>
      <c r="O13" s="107"/>
      <c r="P13" s="159"/>
    </row>
    <row r="14" spans="1:16" ht="21.75" customHeight="1">
      <c r="A14" s="108"/>
      <c r="B14" s="109"/>
      <c r="C14" s="105" t="s">
        <v>133</v>
      </c>
      <c r="D14" s="63" t="s">
        <v>84</v>
      </c>
      <c r="E14" s="44">
        <f>'Saisie résultats'!R33</f>
        <v>1</v>
      </c>
      <c r="F14" s="44">
        <f>'Saisie résultats'!S33</f>
        <v>1</v>
      </c>
      <c r="G14" s="44">
        <f>'Saisie résultats'!T33</f>
        <v>0</v>
      </c>
      <c r="H14" s="44">
        <f>'Saisie résultats'!U33</f>
        <v>0</v>
      </c>
      <c r="I14" s="44">
        <f>'Saisie résultats'!V33</f>
        <v>0</v>
      </c>
      <c r="J14" s="44">
        <f>'Saisie résultats'!W33</f>
        <v>1</v>
      </c>
      <c r="K14" s="44"/>
      <c r="L14" s="44"/>
      <c r="M14" s="44">
        <f>SUM('Saisie résultats'!R34:W34)</f>
        <v>6</v>
      </c>
      <c r="N14" s="74">
        <f t="shared" si="0"/>
        <v>0.5</v>
      </c>
      <c r="O14" s="107">
        <f>SUM(E14:L15)/SUM(M14:M15)</f>
        <v>0.4444444444444444</v>
      </c>
      <c r="P14" s="159"/>
    </row>
    <row r="15" spans="1:16" ht="21.75" customHeight="1" thickBot="1">
      <c r="A15" s="128"/>
      <c r="B15" s="129"/>
      <c r="C15" s="106"/>
      <c r="D15" s="62" t="s">
        <v>85</v>
      </c>
      <c r="E15" s="45">
        <f>'Saisie résultats'!AR33</f>
        <v>1</v>
      </c>
      <c r="F15" s="45">
        <f>'Saisie résultats'!AS33</f>
        <v>0</v>
      </c>
      <c r="G15" s="45">
        <f>'Saisie résultats'!AT33</f>
        <v>0</v>
      </c>
      <c r="H15" s="45">
        <f>'Saisie résultats'!AU33</f>
        <v>0</v>
      </c>
      <c r="I15" s="45">
        <f>'Saisie résultats'!AV33</f>
        <v>0</v>
      </c>
      <c r="J15" s="40"/>
      <c r="K15" s="40"/>
      <c r="L15" s="40"/>
      <c r="M15" s="166">
        <f>SUM('Saisie résultats'!AR34:AX34)</f>
        <v>3</v>
      </c>
      <c r="N15" s="100">
        <f t="shared" si="0"/>
        <v>0.3333333333333333</v>
      </c>
      <c r="O15" s="161"/>
      <c r="P15" s="160"/>
    </row>
    <row r="16" spans="1:16" ht="21.75" customHeight="1" thickBot="1">
      <c r="A16" s="132" t="s">
        <v>86</v>
      </c>
      <c r="B16" s="154" t="s">
        <v>65</v>
      </c>
      <c r="C16" s="47" t="s">
        <v>87</v>
      </c>
      <c r="D16" s="65" t="s">
        <v>88</v>
      </c>
      <c r="E16" s="42">
        <f>'Saisie résultats'!Z33</f>
        <v>0</v>
      </c>
      <c r="F16" s="42">
        <f>'Saisie résultats'!AA33</f>
        <v>0</v>
      </c>
      <c r="G16" s="42">
        <f>'Saisie résultats'!AB33</f>
        <v>0</v>
      </c>
      <c r="H16" s="42">
        <f>'Saisie résultats'!AC33</f>
        <v>0</v>
      </c>
      <c r="I16" s="42"/>
      <c r="J16" s="38"/>
      <c r="K16" s="38"/>
      <c r="L16" s="38"/>
      <c r="M16" s="167">
        <f>SUM('Saisie résultats'!Z34:AC34)</f>
        <v>0</v>
      </c>
      <c r="N16" s="72" t="e">
        <f t="shared" si="0"/>
        <v>#DIV/0!</v>
      </c>
      <c r="O16" s="123">
        <f>SUM(E16:L18)/SUM(M16:M18)</f>
        <v>0.5</v>
      </c>
      <c r="P16" s="121">
        <f>O16</f>
        <v>0.5</v>
      </c>
    </row>
    <row r="17" spans="1:16" ht="21.75" customHeight="1" thickBot="1">
      <c r="A17" s="133"/>
      <c r="B17" s="155"/>
      <c r="C17" s="36" t="s">
        <v>66</v>
      </c>
      <c r="D17" s="66" t="s">
        <v>89</v>
      </c>
      <c r="E17" s="43">
        <f>'Saisie résultats'!AW33</f>
        <v>1</v>
      </c>
      <c r="F17" s="43">
        <f>'Saisie résultats'!AX33</f>
        <v>0</v>
      </c>
      <c r="G17" s="43">
        <f>'Saisie résultats'!AY33</f>
        <v>0</v>
      </c>
      <c r="H17" s="43">
        <f>'Saisie résultats'!AZ33</f>
        <v>0</v>
      </c>
      <c r="I17" s="3"/>
      <c r="J17" s="3"/>
      <c r="K17" s="3"/>
      <c r="L17" s="3"/>
      <c r="M17" s="3">
        <f>SUM('Saisie résultats'!AW34:AZ34)</f>
        <v>4</v>
      </c>
      <c r="N17" s="74">
        <f t="shared" si="0"/>
        <v>0.25</v>
      </c>
      <c r="O17" s="107"/>
      <c r="P17" s="122"/>
    </row>
    <row r="18" spans="1:16" ht="21.75" customHeight="1" thickBot="1">
      <c r="A18" s="163"/>
      <c r="B18" s="164"/>
      <c r="C18" s="48" t="s">
        <v>90</v>
      </c>
      <c r="D18" s="62" t="s">
        <v>91</v>
      </c>
      <c r="E18" s="45">
        <f>'Saisie résultats'!BA33</f>
        <v>1</v>
      </c>
      <c r="F18" s="45">
        <f>'Saisie résultats'!BB33</f>
        <v>1</v>
      </c>
      <c r="G18" s="101"/>
      <c r="H18" s="101"/>
      <c r="I18" s="40"/>
      <c r="J18" s="40"/>
      <c r="K18" s="40"/>
      <c r="L18" s="40"/>
      <c r="M18" s="166">
        <f>SUM('Saisie résultats'!BA34:BB34)</f>
        <v>2</v>
      </c>
      <c r="N18" s="100">
        <f t="shared" si="0"/>
        <v>1</v>
      </c>
      <c r="O18" s="124"/>
      <c r="P18" s="125"/>
    </row>
    <row r="19" spans="1:16" ht="21.75" customHeight="1" thickBot="1">
      <c r="A19" s="132" t="s">
        <v>67</v>
      </c>
      <c r="B19" s="154" t="s">
        <v>68</v>
      </c>
      <c r="C19" s="53" t="s">
        <v>92</v>
      </c>
      <c r="D19" s="96">
        <v>28</v>
      </c>
      <c r="E19" s="55">
        <f>'Saisie résultats'!AD33</f>
        <v>1</v>
      </c>
      <c r="F19" s="42"/>
      <c r="G19" s="38"/>
      <c r="H19" s="38"/>
      <c r="I19" s="38"/>
      <c r="J19" s="38"/>
      <c r="K19" s="38"/>
      <c r="L19" s="38"/>
      <c r="M19" s="167">
        <f>'Saisie résultats'!AD34</f>
        <v>1</v>
      </c>
      <c r="N19" s="72">
        <f t="shared" si="0"/>
        <v>1</v>
      </c>
      <c r="O19" s="123">
        <f>SUM(E19:L23)/SUM(M19:M23)</f>
        <v>0.625</v>
      </c>
      <c r="P19" s="121">
        <f>SUM(E19:L25)/SUM(M19:M25)</f>
        <v>0.6363636363636364</v>
      </c>
    </row>
    <row r="20" spans="1:16" ht="21.75" customHeight="1">
      <c r="A20" s="133"/>
      <c r="B20" s="155"/>
      <c r="C20" s="139" t="s">
        <v>69</v>
      </c>
      <c r="D20" s="97" t="s">
        <v>93</v>
      </c>
      <c r="E20" s="56">
        <f>'Saisie résultats'!AE33</f>
        <v>1</v>
      </c>
      <c r="F20" s="44">
        <f>'Saisie résultats'!AF33</f>
        <v>0</v>
      </c>
      <c r="G20" s="3"/>
      <c r="H20" s="3"/>
      <c r="I20" s="3"/>
      <c r="J20" s="3"/>
      <c r="K20" s="3"/>
      <c r="L20" s="3"/>
      <c r="M20" s="3">
        <f>SUM('Saisie résultats'!AE34:AF34)</f>
        <v>2</v>
      </c>
      <c r="N20" s="74">
        <f t="shared" si="0"/>
        <v>0.5</v>
      </c>
      <c r="O20" s="107"/>
      <c r="P20" s="122"/>
    </row>
    <row r="21" spans="1:16" ht="21.75" customHeight="1" thickBot="1">
      <c r="A21" s="133"/>
      <c r="B21" s="155"/>
      <c r="C21" s="104"/>
      <c r="D21" s="98" t="s">
        <v>94</v>
      </c>
      <c r="E21" s="57">
        <f>'Saisie résultats'!BC33</f>
        <v>1</v>
      </c>
      <c r="F21" s="43">
        <f>'Saisie résultats'!BD33</f>
        <v>1</v>
      </c>
      <c r="G21" s="3"/>
      <c r="H21" s="3"/>
      <c r="I21" s="3"/>
      <c r="J21" s="3"/>
      <c r="K21" s="3"/>
      <c r="L21" s="3"/>
      <c r="M21" s="3">
        <f>SUM('Saisie résultats'!BC34:BD34)</f>
        <v>2</v>
      </c>
      <c r="N21" s="74">
        <f t="shared" si="0"/>
        <v>1</v>
      </c>
      <c r="O21" s="107"/>
      <c r="P21" s="122"/>
    </row>
    <row r="22" spans="1:16" ht="21.75" customHeight="1" thickBot="1">
      <c r="A22" s="133"/>
      <c r="B22" s="155"/>
      <c r="C22" s="36" t="s">
        <v>95</v>
      </c>
      <c r="D22" s="99">
        <v>31</v>
      </c>
      <c r="E22" s="56">
        <f>'Saisie résultats'!AG33</f>
        <v>1</v>
      </c>
      <c r="F22" s="3"/>
      <c r="G22" s="3"/>
      <c r="H22" s="3"/>
      <c r="I22" s="3"/>
      <c r="J22" s="3"/>
      <c r="K22" s="3"/>
      <c r="L22" s="3"/>
      <c r="M22" s="3">
        <f>'Saisie résultats'!AG34</f>
        <v>1</v>
      </c>
      <c r="N22" s="74">
        <f t="shared" si="0"/>
        <v>1</v>
      </c>
      <c r="O22" s="107"/>
      <c r="P22" s="122"/>
    </row>
    <row r="23" spans="1:16" ht="21.75" customHeight="1" thickBot="1">
      <c r="A23" s="133"/>
      <c r="B23" s="156"/>
      <c r="C23" s="36" t="s">
        <v>70</v>
      </c>
      <c r="D23" s="98" t="s">
        <v>96</v>
      </c>
      <c r="E23" s="57">
        <f>'Saisie résultats'!BE33</f>
        <v>0</v>
      </c>
      <c r="F23" s="43">
        <f>'Saisie résultats'!BF33</f>
        <v>0</v>
      </c>
      <c r="G23" s="3"/>
      <c r="H23" s="3"/>
      <c r="I23" s="3"/>
      <c r="J23" s="3"/>
      <c r="K23" s="3"/>
      <c r="L23" s="3"/>
      <c r="M23" s="3">
        <f>SUM('Saisie résultats'!BE34:BF34)</f>
        <v>2</v>
      </c>
      <c r="N23" s="74">
        <f t="shared" si="0"/>
        <v>0</v>
      </c>
      <c r="O23" s="107"/>
      <c r="P23" s="122"/>
    </row>
    <row r="24" spans="1:16" ht="21.75" customHeight="1">
      <c r="A24" s="133"/>
      <c r="B24" s="137" t="s">
        <v>97</v>
      </c>
      <c r="C24" s="139" t="s">
        <v>71</v>
      </c>
      <c r="D24" s="97">
        <v>1</v>
      </c>
      <c r="E24" s="56">
        <f>'Saisie résultats'!C33</f>
        <v>1</v>
      </c>
      <c r="F24" s="3"/>
      <c r="G24" s="3"/>
      <c r="H24" s="3"/>
      <c r="I24" s="3"/>
      <c r="J24" s="3"/>
      <c r="K24" s="3"/>
      <c r="L24" s="3"/>
      <c r="M24" s="3">
        <f>'Saisie résultats'!C34</f>
        <v>2</v>
      </c>
      <c r="N24" s="74">
        <f t="shared" si="0"/>
        <v>0.5</v>
      </c>
      <c r="O24" s="107">
        <f>SUM(E24:L25)/SUM(M24:M25)</f>
        <v>0.6666666666666666</v>
      </c>
      <c r="P24" s="122"/>
    </row>
    <row r="25" spans="1:16" ht="21.75" customHeight="1" thickBot="1">
      <c r="A25" s="163"/>
      <c r="B25" s="162"/>
      <c r="C25" s="131"/>
      <c r="D25" s="93">
        <v>33</v>
      </c>
      <c r="E25" s="58">
        <f>'Saisie résultats'!AI33</f>
        <v>1</v>
      </c>
      <c r="F25" s="40"/>
      <c r="G25" s="40"/>
      <c r="H25" s="40"/>
      <c r="I25" s="40"/>
      <c r="J25" s="40"/>
      <c r="K25" s="40"/>
      <c r="L25" s="40"/>
      <c r="M25" s="166">
        <f>'Saisie résultats'!AI34</f>
        <v>1</v>
      </c>
      <c r="N25" s="100">
        <f t="shared" si="0"/>
        <v>1</v>
      </c>
      <c r="O25" s="161"/>
      <c r="P25" s="125"/>
    </row>
    <row r="26" spans="1:16" ht="21.75" customHeight="1">
      <c r="A26" s="126" t="s">
        <v>72</v>
      </c>
      <c r="B26" s="127"/>
      <c r="C26" s="130" t="s">
        <v>73</v>
      </c>
      <c r="D26" s="61" t="s">
        <v>98</v>
      </c>
      <c r="E26" s="42">
        <f>'Saisie résultats'!D33</f>
        <v>0</v>
      </c>
      <c r="F26" s="42">
        <f>'Saisie résultats'!AH33</f>
        <v>0</v>
      </c>
      <c r="G26" s="38"/>
      <c r="H26" s="38"/>
      <c r="I26" s="38"/>
      <c r="J26" s="38"/>
      <c r="K26" s="38"/>
      <c r="L26" s="38"/>
      <c r="M26" s="167">
        <f>SUM('Saisie résultats'!D34,'Saisie résultats'!AH34)</f>
        <v>3</v>
      </c>
      <c r="N26" s="72">
        <f t="shared" si="0"/>
        <v>0</v>
      </c>
      <c r="O26" s="123">
        <f>SUM(E26:L27)/SUM(M26:M27)</f>
        <v>0.25</v>
      </c>
      <c r="P26" s="121">
        <f>SUM(E26:L27)/SUM(M26:M27)</f>
        <v>0.25</v>
      </c>
    </row>
    <row r="27" spans="1:16" ht="21.75" customHeight="1" thickBot="1">
      <c r="A27" s="128"/>
      <c r="B27" s="129"/>
      <c r="C27" s="131"/>
      <c r="D27" s="62">
        <v>34</v>
      </c>
      <c r="E27" s="45">
        <f>'Saisie résultats'!AJ33</f>
        <v>1</v>
      </c>
      <c r="F27" s="40"/>
      <c r="G27" s="40"/>
      <c r="H27" s="40"/>
      <c r="I27" s="40"/>
      <c r="J27" s="40"/>
      <c r="K27" s="40"/>
      <c r="L27" s="40"/>
      <c r="M27" s="166">
        <f>'Saisie résultats'!AJ34</f>
        <v>1</v>
      </c>
      <c r="N27" s="100">
        <f t="shared" si="0"/>
        <v>1</v>
      </c>
      <c r="O27" s="161"/>
      <c r="P27" s="125"/>
    </row>
  </sheetData>
  <sheetProtection/>
  <mergeCells count="36">
    <mergeCell ref="P26:P27"/>
    <mergeCell ref="A16:A18"/>
    <mergeCell ref="B16:B18"/>
    <mergeCell ref="O16:O18"/>
    <mergeCell ref="P16:P18"/>
    <mergeCell ref="A19:A25"/>
    <mergeCell ref="B19:B23"/>
    <mergeCell ref="O19:O23"/>
    <mergeCell ref="P19:P25"/>
    <mergeCell ref="C20:C21"/>
    <mergeCell ref="B24:B25"/>
    <mergeCell ref="C24:C25"/>
    <mergeCell ref="O24:O25"/>
    <mergeCell ref="A26:B27"/>
    <mergeCell ref="C26:C27"/>
    <mergeCell ref="O26:O27"/>
    <mergeCell ref="A12:B15"/>
    <mergeCell ref="C12:C13"/>
    <mergeCell ref="O12:O13"/>
    <mergeCell ref="P12:P15"/>
    <mergeCell ref="C14:C15"/>
    <mergeCell ref="O14:O15"/>
    <mergeCell ref="A8:B11"/>
    <mergeCell ref="C8:C9"/>
    <mergeCell ref="O8:O9"/>
    <mergeCell ref="P8:P11"/>
    <mergeCell ref="A4:B7"/>
    <mergeCell ref="C4:C5"/>
    <mergeCell ref="O4:O5"/>
    <mergeCell ref="P4:P7"/>
    <mergeCell ref="C6:C7"/>
    <mergeCell ref="O6:O7"/>
    <mergeCell ref="A1:N1"/>
    <mergeCell ref="A2:B2"/>
    <mergeCell ref="A3:C3"/>
    <mergeCell ref="E3:L3"/>
  </mergeCells>
  <conditionalFormatting sqref="N4:P27">
    <cfRule type="cellIs" priority="1" dxfId="2" operator="lessThan" stopIfTrue="1">
      <formula>0.5</formula>
    </cfRule>
    <cfRule type="cellIs" priority="2" dxfId="3" operator="between" stopIfTrue="1">
      <formula>0.5</formula>
      <formula>0.7</formula>
    </cfRule>
    <cfRule type="cellIs" priority="3" dxfId="4" operator="greaterThan" stopIfTrue="1">
      <formula>0.7</formula>
    </cfRule>
  </conditionalFormatting>
  <conditionalFormatting sqref="O4:O14 O16 N4:N27 O19 O24:O27 P26:P27 P4:P12 P16:P19">
    <cfRule type="colorScale" priority="1" dxfId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7874015748031497" right="0.7874015748031497" top="0.5905511811023623" bottom="0.71" header="0.5118110236220472" footer="0.5118110236220472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JCR</dc:creator>
  <cp:keywords/>
  <dc:description/>
  <cp:lastModifiedBy>JCR</cp:lastModifiedBy>
  <cp:lastPrinted>2009-06-24T11:57:17Z</cp:lastPrinted>
  <dcterms:created xsi:type="dcterms:W3CDTF">2009-06-19T12:32:56Z</dcterms:created>
  <dcterms:modified xsi:type="dcterms:W3CDTF">2009-06-25T14:14:30Z</dcterms:modified>
  <cp:category/>
  <cp:version/>
  <cp:contentType/>
  <cp:contentStatus/>
</cp:coreProperties>
</file>